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ORK\SUSTAINABLE-TRANSPORT\SUTI_ Pilot\doc sent\"/>
    </mc:Choice>
  </mc:AlternateContent>
  <bookViews>
    <workbookView xWindow="480" yWindow="105" windowWidth="19440" windowHeight="10050" activeTab="1" xr2:uid="{00000000-000D-0000-FFFF-FFFF00000000}"/>
  </bookViews>
  <sheets>
    <sheet name="A. GENERAL INFO" sheetId="10" r:id="rId1"/>
    <sheet name="B. DATA ENTRY" sheetId="5" r:id="rId2"/>
    <sheet name="C. DIAGRAM" sheetId="11" r:id="rId3"/>
    <sheet name="1." sheetId="12" r:id="rId4"/>
    <sheet name="2" sheetId="22" r:id="rId5"/>
    <sheet name="3" sheetId="23" r:id="rId6"/>
    <sheet name="4" sheetId="24" r:id="rId7"/>
    <sheet name="5" sheetId="25" r:id="rId8"/>
    <sheet name="6" sheetId="26" r:id="rId9"/>
    <sheet name="7" sheetId="27" r:id="rId10"/>
    <sheet name="8" sheetId="28" r:id="rId11"/>
    <sheet name="9" sheetId="29" r:id="rId12"/>
    <sheet name="10" sheetId="30" r:id="rId13"/>
  </sheets>
  <calcPr calcId="171027"/>
</workbook>
</file>

<file path=xl/calcChain.xml><?xml version="1.0" encoding="utf-8"?>
<calcChain xmlns="http://schemas.openxmlformats.org/spreadsheetml/2006/main">
  <c r="B19" i="30" l="1"/>
  <c r="J18" i="30"/>
  <c r="J17" i="30"/>
  <c r="J16" i="30"/>
  <c r="J15" i="30"/>
  <c r="J14" i="30"/>
  <c r="I18" i="30"/>
  <c r="I17" i="30"/>
  <c r="I16" i="30"/>
  <c r="I15" i="30"/>
  <c r="I14" i="30"/>
  <c r="H18" i="30"/>
  <c r="K18" i="30" s="1"/>
  <c r="H17" i="30"/>
  <c r="H16" i="30"/>
  <c r="H15" i="30"/>
  <c r="H14" i="30"/>
  <c r="G18" i="30"/>
  <c r="G17" i="30"/>
  <c r="G16" i="30"/>
  <c r="G15" i="30"/>
  <c r="K15" i="30" s="1"/>
  <c r="G14" i="30"/>
  <c r="K14" i="30"/>
  <c r="D35" i="30"/>
  <c r="D34" i="30"/>
  <c r="K16" i="30" l="1"/>
  <c r="K17" i="30"/>
  <c r="I19" i="30"/>
  <c r="E24" i="30" s="1"/>
  <c r="J19" i="30"/>
  <c r="E27" i="30" s="1"/>
  <c r="G19" i="30"/>
  <c r="D36" i="30"/>
  <c r="F36" i="30" s="1"/>
  <c r="H19" i="30"/>
  <c r="E26" i="30" s="1"/>
  <c r="D18" i="29"/>
  <c r="E18" i="29" s="1"/>
  <c r="L20" i="28"/>
  <c r="L19" i="28"/>
  <c r="L14" i="28"/>
  <c r="L13" i="28"/>
  <c r="D33" i="23"/>
  <c r="D32" i="23"/>
  <c r="E17" i="27"/>
  <c r="E16" i="27"/>
  <c r="E15" i="27"/>
  <c r="E14" i="27"/>
  <c r="E13" i="27"/>
  <c r="E34" i="26"/>
  <c r="B34" i="26"/>
  <c r="C31" i="26" s="1"/>
  <c r="E33" i="26"/>
  <c r="E32" i="26"/>
  <c r="E31" i="26"/>
  <c r="E30" i="26"/>
  <c r="E29" i="26"/>
  <c r="B23" i="26"/>
  <c r="D23" i="26"/>
  <c r="D22" i="26"/>
  <c r="E22" i="26" s="1"/>
  <c r="D21" i="26"/>
  <c r="E21" i="26" s="1"/>
  <c r="D20" i="26"/>
  <c r="E20" i="26" s="1"/>
  <c r="D19" i="26"/>
  <c r="E19" i="26" s="1"/>
  <c r="D18" i="26"/>
  <c r="E18" i="26" s="1"/>
  <c r="D17" i="26"/>
  <c r="E17" i="26" s="1"/>
  <c r="D16" i="26"/>
  <c r="E16" i="26" s="1"/>
  <c r="D15" i="26"/>
  <c r="E15" i="26" s="1"/>
  <c r="D14" i="26"/>
  <c r="E14" i="26" s="1"/>
  <c r="E25" i="30" l="1"/>
  <c r="E22" i="30"/>
  <c r="E23" i="30"/>
  <c r="K19" i="30"/>
  <c r="L21" i="28"/>
  <c r="E15" i="29"/>
  <c r="E14" i="29"/>
  <c r="E17" i="29"/>
  <c r="E16" i="29"/>
  <c r="L15" i="28"/>
  <c r="C30" i="26"/>
  <c r="C29" i="26"/>
  <c r="F29" i="26" s="1"/>
  <c r="C33" i="26"/>
  <c r="F33" i="26" s="1"/>
  <c r="C32" i="26"/>
  <c r="F32" i="26" s="1"/>
  <c r="E18" i="27"/>
  <c r="E23" i="26"/>
  <c r="B18" i="25"/>
  <c r="B20" i="25" s="1"/>
  <c r="E28" i="30" l="1"/>
  <c r="G28" i="30" s="1"/>
  <c r="C19" i="29"/>
  <c r="B18" i="27"/>
  <c r="C34" i="26"/>
  <c r="F31" i="26"/>
  <c r="F30" i="26"/>
  <c r="B22" i="24"/>
  <c r="C22" i="24"/>
  <c r="D22" i="24"/>
  <c r="E22" i="24"/>
  <c r="F22" i="24"/>
  <c r="G22" i="24"/>
  <c r="H22" i="24"/>
  <c r="I22" i="24" l="1"/>
  <c r="J22" i="24" s="1"/>
  <c r="F34" i="26"/>
  <c r="F37" i="26" s="1"/>
  <c r="I21" i="24"/>
  <c r="J21" i="24" s="1"/>
  <c r="I20" i="24"/>
  <c r="I19" i="24"/>
  <c r="I18" i="24"/>
  <c r="I17" i="24"/>
  <c r="I16" i="24"/>
  <c r="I15" i="24"/>
  <c r="I14" i="24"/>
  <c r="D31" i="23"/>
  <c r="D30" i="23"/>
  <c r="D29" i="23"/>
  <c r="D28" i="23"/>
  <c r="D24" i="23"/>
  <c r="D23" i="23"/>
  <c r="D22" i="23"/>
  <c r="D18" i="23"/>
  <c r="D17" i="23"/>
  <c r="D16" i="23"/>
  <c r="C29" i="22"/>
  <c r="C22" i="22"/>
  <c r="C19" i="22"/>
  <c r="C15" i="12"/>
  <c r="K16" i="24" l="1"/>
  <c r="J16" i="24"/>
  <c r="K20" i="24"/>
  <c r="J20" i="24"/>
  <c r="K15" i="24"/>
  <c r="J15" i="24"/>
  <c r="K19" i="24"/>
  <c r="J19" i="24"/>
  <c r="K18" i="24"/>
  <c r="J18" i="24"/>
  <c r="K21" i="24"/>
  <c r="K17" i="24"/>
  <c r="J17" i="24"/>
  <c r="K14" i="24"/>
  <c r="J14" i="24"/>
  <c r="D35" i="23"/>
  <c r="D37" i="23" s="1"/>
  <c r="C30" i="22"/>
  <c r="C31" i="22"/>
  <c r="D29" i="5"/>
  <c r="D28" i="5"/>
  <c r="D27" i="5"/>
  <c r="D26" i="5"/>
  <c r="D25" i="5"/>
  <c r="D24" i="5"/>
  <c r="D23" i="5"/>
  <c r="D22" i="5"/>
  <c r="D21" i="5"/>
  <c r="D20" i="5"/>
  <c r="C29" i="5"/>
  <c r="C28" i="5"/>
  <c r="C27" i="5"/>
  <c r="C26" i="5"/>
  <c r="C25" i="5"/>
  <c r="C24" i="5"/>
  <c r="C23" i="5"/>
  <c r="C22" i="5"/>
  <c r="C21" i="5"/>
  <c r="C20" i="5"/>
  <c r="B29" i="5"/>
  <c r="B28" i="5"/>
  <c r="B27" i="5"/>
  <c r="B26" i="5"/>
  <c r="B25" i="5"/>
  <c r="B24" i="5"/>
  <c r="B23" i="5"/>
  <c r="B22" i="5"/>
  <c r="B21" i="5"/>
  <c r="B20" i="5"/>
  <c r="K22" i="24" l="1"/>
  <c r="C32" i="22"/>
  <c r="H29" i="5"/>
  <c r="H28" i="5"/>
  <c r="H27" i="5"/>
  <c r="H26" i="5"/>
  <c r="H25" i="5"/>
  <c r="C9" i="11" s="1"/>
  <c r="H24" i="5"/>
  <c r="H23" i="5"/>
  <c r="H22" i="5"/>
  <c r="H21" i="5"/>
  <c r="H20" i="5"/>
  <c r="D15" i="5"/>
  <c r="C13" i="11" l="1"/>
  <c r="C12" i="11"/>
  <c r="C11" i="11"/>
  <c r="C10" i="11"/>
  <c r="C8" i="11"/>
  <c r="C7" i="11"/>
  <c r="C6" i="11"/>
  <c r="C4" i="11"/>
  <c r="C5" i="11"/>
  <c r="H35" i="5"/>
</calcChain>
</file>

<file path=xl/sharedStrings.xml><?xml version="1.0" encoding="utf-8"?>
<sst xmlns="http://schemas.openxmlformats.org/spreadsheetml/2006/main" count="401" uniqueCount="278">
  <si>
    <t>Modal share of active and public transport in commuting</t>
  </si>
  <si>
    <t>Convenient access to public transport service</t>
  </si>
  <si>
    <t>MIN</t>
  </si>
  <si>
    <t>MAX</t>
  </si>
  <si>
    <t>Normalization</t>
  </si>
  <si>
    <t>μg/m3</t>
  </si>
  <si>
    <t>Natural</t>
  </si>
  <si>
    <t>#</t>
  </si>
  <si>
    <t>Indicators</t>
  </si>
  <si>
    <t>units</t>
  </si>
  <si>
    <t>Weights</t>
  </si>
  <si>
    <t>0 - 16 scale</t>
  </si>
  <si>
    <t>% satisfied</t>
  </si>
  <si>
    <t>Traffic fatalities  per 100.000 inhabitants</t>
  </si>
  <si>
    <t># fatalities</t>
  </si>
  <si>
    <t>Affordability – travel costs as part of income</t>
  </si>
  <si>
    <t>% of income</t>
  </si>
  <si>
    <t>3.5</t>
  </si>
  <si>
    <t>Operational costs of the public transport system</t>
  </si>
  <si>
    <t>Cost recovery ratio</t>
  </si>
  <si>
    <t>Investment in public transportation systems</t>
  </si>
  <si>
    <t>Air quality (pm10)</t>
  </si>
  <si>
    <t>Greenhouse gas emissions from transport</t>
  </si>
  <si>
    <t>INDEX</t>
  </si>
  <si>
    <t>0.1</t>
  </si>
  <si>
    <t>1.0</t>
  </si>
  <si>
    <t>MUST SUM TO 1</t>
  </si>
  <si>
    <t>Extent to which transport plans cover public transport, intermodal facilities and infrastructure for active modes</t>
  </si>
  <si>
    <t>% of population</t>
  </si>
  <si>
    <t>% of total invest-ment</t>
  </si>
  <si>
    <t>Public transport quality and reliability</t>
  </si>
  <si>
    <t>Note: Decimal points used to allow reproduction in US format for report</t>
  </si>
  <si>
    <t>Range</t>
  </si>
  <si>
    <t>Geometric mean</t>
  </si>
  <si>
    <t>YEAR</t>
  </si>
  <si>
    <t>COMMENTS ABOUT DATA SOURCES OR ISSUES RELEVANT FOR INTERPRETATION</t>
  </si>
  <si>
    <t>VALUE</t>
  </si>
  <si>
    <t>NAME OF CITY</t>
  </si>
  <si>
    <t>B1 DATA ENTRY</t>
  </si>
  <si>
    <t>B3 SUTI RESULT</t>
  </si>
  <si>
    <t>B2 NORMALIZATION (AUTOMATIC INTERMEDIATE CALCULATION)</t>
  </si>
  <si>
    <t>Tons/cap</t>
  </si>
  <si>
    <t>% of trips</t>
  </si>
  <si>
    <t xml:space="preserve">C1 RESULT SPIDER DIAGRAM </t>
  </si>
  <si>
    <t>GENERAL COMMENTS</t>
  </si>
  <si>
    <t>ENTER INFO BELOW</t>
  </si>
  <si>
    <t>A1. GENEREL INFO ENTRY</t>
  </si>
  <si>
    <t>MAIN CONTACT PERSON NAME</t>
  </si>
  <si>
    <t>MAIN CONTACT PERSON EMAIL</t>
  </si>
  <si>
    <t>MAIN CONTACT PERSON TITLE/POSITION</t>
  </si>
  <si>
    <t>DATE WHEN SHEET IS SUBMITTED</t>
  </si>
  <si>
    <t>YEAR(S) THAT THE DATA COVER</t>
  </si>
  <si>
    <t>POPUlATION OF THE CITY</t>
  </si>
  <si>
    <t>AREA OF THE CITY</t>
  </si>
  <si>
    <t>ENTER  CITY DATA BELOW . Replace '0' with actual value. Add year if different from year in A. GENERAL INFO sub-sheet</t>
  </si>
  <si>
    <t>1. EXTENT TO WHICH TRANSPORT PLANS COVER PUBLIC TRANSPORT, INTERMODAL FACILITIES AND INFRASTRUCTURE FOR ACTIVE MODES</t>
  </si>
  <si>
    <t>Aspects</t>
  </si>
  <si>
    <t>Explanation</t>
  </si>
  <si>
    <t>Score</t>
  </si>
  <si>
    <t>I) walking networks</t>
  </si>
  <si>
    <t xml:space="preserve"> </t>
  </si>
  <si>
    <t>II) cycling networks</t>
  </si>
  <si>
    <t>III) intermodal transfer facilities</t>
  </si>
  <si>
    <t xml:space="preserve">IV) public transport </t>
  </si>
  <si>
    <t>Total (sum)</t>
  </si>
  <si>
    <t>2. MODAL SHARE OF ACTIVE AND PUBLIC TRANSPORT IN COMMUTING</t>
  </si>
  <si>
    <t>YEAR THAT THE INDICATOR CONCERNS</t>
  </si>
  <si>
    <t>PROPSOSED CATEGORIES/TABLE FOR CALCULATING THIS INDICATOR (SEE SECTION 3.1 IN THE GUIDELINE)</t>
  </si>
  <si>
    <t>3. CONVENIENT ACCESS TO PUBLIC TRANSPORT SERVICE</t>
  </si>
  <si>
    <t>4. PUBLIC TRANSPORT QUALITY AND RELIABILITY</t>
  </si>
  <si>
    <t>5. TRAFFIC FATALITIES  PER 100.000 INHABITANTS</t>
  </si>
  <si>
    <t>PROPOSED CATEGORIES/TABLE FOR CALCULATING THIS INDICATOR</t>
  </si>
  <si>
    <t>6. AFFORDABILITY – TRAVEL COSTS AS PART OF INCOME</t>
  </si>
  <si>
    <t>7. OPERATIONAL COSTS OF THE PUBLIC TRANSPORT SYSTEM</t>
  </si>
  <si>
    <t>VALUE TO ENTER IN SUB-SHEET B</t>
  </si>
  <si>
    <t>8. INVESTMENT IN PUBLIC TRANSPORTATION SYSTEMS</t>
  </si>
  <si>
    <t>9. AIR QUALITY (PM10)</t>
  </si>
  <si>
    <t>10. GREENHOUSE GAS EMISSIONS FROM TRANSPORT</t>
  </si>
  <si>
    <t xml:space="preserve">Average number of trips per person by main mode of transport </t>
  </si>
  <si>
    <t>(for age group example 15-60 years)</t>
  </si>
  <si>
    <t>PURPOSE</t>
  </si>
  <si>
    <t>COMMUTING</t>
  </si>
  <si>
    <t>(WORK AND EDUCATION)</t>
  </si>
  <si>
    <t>LEISURE AND OTHER</t>
  </si>
  <si>
    <t>MODE</t>
  </si>
  <si>
    <t>subtotals</t>
  </si>
  <si>
    <t>Not relevant</t>
  </si>
  <si>
    <t>a. Scheduled bus and minibus</t>
  </si>
  <si>
    <t>b. Train, metro, tram</t>
  </si>
  <si>
    <t>c. Ferry</t>
  </si>
  <si>
    <t>d. Other public</t>
  </si>
  <si>
    <t>e. Public transport</t>
  </si>
  <si>
    <t>(a+b+c+d)</t>
  </si>
  <si>
    <t>f. Walking</t>
  </si>
  <si>
    <t xml:space="preserve">g. Bicycle </t>
  </si>
  <si>
    <t>h. Active transport</t>
  </si>
  <si>
    <t>(f+g)</t>
  </si>
  <si>
    <t>i. Passenger car</t>
  </si>
  <si>
    <t>j. Taxi</t>
  </si>
  <si>
    <t>k. Motorcycle</t>
  </si>
  <si>
    <t>l. Scooter/moped</t>
  </si>
  <si>
    <t>m. Para transit (unscheduled)</t>
  </si>
  <si>
    <t>(e+h)</t>
  </si>
  <si>
    <t>n. Other motorized (trucks,etc)</t>
  </si>
  <si>
    <t>o. Individual motorized</t>
  </si>
  <si>
    <t>p. Total</t>
  </si>
  <si>
    <t>q. Public and active</t>
  </si>
  <si>
    <t>r. Modal share of active and public transport</t>
  </si>
  <si>
    <t>(i+j+k+l+m+n)</t>
  </si>
  <si>
    <t>(e+h+o)</t>
  </si>
  <si>
    <t>YEAR TO ENTER IN SUB-SHEET B</t>
  </si>
  <si>
    <t>GENERAL DESCRIPTION OF AND LINKS TO MATERIAL USED TO COLLECT AND DERIVE THIS INDICATOR (more rows may be addesd)</t>
  </si>
  <si>
    <t>ANY BASIC DATA, CALCULATIONS, OR ADDITIONAL OBSERVATIONS (enter below)</t>
  </si>
  <si>
    <t>Node/stop</t>
  </si>
  <si>
    <t>Rail Line A</t>
  </si>
  <si>
    <t>BRT Line B</t>
  </si>
  <si>
    <t>BUS line C</t>
  </si>
  <si>
    <t>StationA1</t>
  </si>
  <si>
    <t>StationA2</t>
  </si>
  <si>
    <t>StationA3</t>
  </si>
  <si>
    <t>StopB1</t>
  </si>
  <si>
    <t>StopB2</t>
  </si>
  <si>
    <t>StopB3</t>
  </si>
  <si>
    <t>Average frequency in daytime (6:00am-6:00pm)</t>
  </si>
  <si>
    <t>StopC1</t>
  </si>
  <si>
    <t>StopC2</t>
  </si>
  <si>
    <t>StopC3</t>
  </si>
  <si>
    <t>StopC4</t>
  </si>
  <si>
    <t>StopC5</t>
  </si>
  <si>
    <t>Inhabitants</t>
  </si>
  <si>
    <t>SUM</t>
  </si>
  <si>
    <t>Total Population</t>
  </si>
  <si>
    <t>Interval</t>
  </si>
  <si>
    <t>inh/km2</t>
  </si>
  <si>
    <t>StopC6</t>
  </si>
  <si>
    <t>% within 500m buffers</t>
  </si>
  <si>
    <t>Pop. density</t>
  </si>
  <si>
    <t>example</t>
  </si>
  <si>
    <t>example population</t>
  </si>
  <si>
    <t>PROPOSED CATEGORIES/TABLE FOR CALCULATING THIS INDICATOR (to be extended to all stops/stations if used)</t>
  </si>
  <si>
    <t>Punctuality (delay)</t>
  </si>
  <si>
    <t>Comfort and cleanliness of vehicles</t>
  </si>
  <si>
    <t>Personnel courtesy</t>
  </si>
  <si>
    <t>Fare level</t>
  </si>
  <si>
    <t>Dissatisfied</t>
  </si>
  <si>
    <t>Satisfied</t>
  </si>
  <si>
    <t>Very</t>
  </si>
  <si>
    <t>Partly</t>
  </si>
  <si>
    <t>Dimension</t>
  </si>
  <si>
    <t>Frequency of the service</t>
  </si>
  <si>
    <t>Safety of vehicles</t>
  </si>
  <si>
    <t>Availability of information</t>
  </si>
  <si>
    <t>Neither</t>
  </si>
  <si>
    <t>Nor</t>
  </si>
  <si>
    <t>AV SCORE</t>
  </si>
  <si>
    <t>RESP</t>
  </si>
  <si>
    <t>Convenience of stops/stations</t>
  </si>
  <si>
    <t>SATISF</t>
  </si>
  <si>
    <t>responses</t>
  </si>
  <si>
    <t>Road transport</t>
  </si>
  <si>
    <t>Railway transport</t>
  </si>
  <si>
    <t>Tram</t>
  </si>
  <si>
    <t>Ferryboats</t>
  </si>
  <si>
    <t>Other</t>
  </si>
  <si>
    <t>Total</t>
  </si>
  <si>
    <t xml:space="preserve">Fatalities </t>
  </si>
  <si>
    <t>Fatalities/100,000 inh</t>
  </si>
  <si>
    <t>Will work when actual values are entered</t>
  </si>
  <si>
    <t>ENDORSED BY CITY REPRESENTATIVE</t>
  </si>
  <si>
    <t>OTHER AGENCIES INVOLVED</t>
  </si>
  <si>
    <r>
      <t xml:space="preserve">replace mock red </t>
    </r>
    <r>
      <rPr>
        <b/>
        <i/>
        <sz val="11"/>
        <color rgb="FFFF0000"/>
        <rFont val="Calibri"/>
        <family val="2"/>
        <scheme val="minor"/>
      </rPr>
      <t>0</t>
    </r>
    <r>
      <rPr>
        <b/>
        <i/>
        <sz val="11"/>
        <color theme="1"/>
        <rFont val="Calibri"/>
        <family val="2"/>
        <scheme val="minor"/>
      </rPr>
      <t>'s swith actual values to produce results</t>
    </r>
  </si>
  <si>
    <t>More lines should be added to the table accordingly</t>
  </si>
  <si>
    <t>Services</t>
  </si>
  <si>
    <t>Company 1</t>
  </si>
  <si>
    <t>Company 2</t>
  </si>
  <si>
    <t>Company 3</t>
  </si>
  <si>
    <t>Company 5</t>
  </si>
  <si>
    <t>Company 6</t>
  </si>
  <si>
    <t>Company 7</t>
  </si>
  <si>
    <t>Company 8</t>
  </si>
  <si>
    <t>Company 9</t>
  </si>
  <si>
    <t>Weighted monthly cost</t>
  </si>
  <si>
    <t>Single ticket price  [currency]</t>
  </si>
  <si>
    <t>Total to be entered in calculation of the indicator</t>
  </si>
  <si>
    <t>Must sum to 100</t>
  </si>
  <si>
    <t>Market shares (estimated)</t>
  </si>
  <si>
    <t>Cimpany 10</t>
  </si>
  <si>
    <t>Example calculation for a city with up to 10  companies using 60 daily tickets as basis</t>
  </si>
  <si>
    <t>MRT-3</t>
  </si>
  <si>
    <t>LRTA</t>
  </si>
  <si>
    <t>Annual Ridership</t>
  </si>
  <si>
    <t xml:space="preserve">Single ticket price  </t>
  </si>
  <si>
    <t>Mean household income, 3 decile, 2015</t>
  </si>
  <si>
    <t>Company x</t>
  </si>
  <si>
    <t>Company y</t>
  </si>
  <si>
    <t>Company z</t>
  </si>
  <si>
    <t>Monthly cost (60 tickets)</t>
  </si>
  <si>
    <t>Monthly cost(60 tickets)</t>
  </si>
  <si>
    <t>Example calculation for METRO MANILA (Note: approximation)</t>
  </si>
  <si>
    <t>Example aggregation of fataities by mode</t>
  </si>
  <si>
    <t>Affordability – travel costs as share of income</t>
  </si>
  <si>
    <r>
      <t>if the table is used replace</t>
    </r>
    <r>
      <rPr>
        <b/>
        <i/>
        <sz val="11"/>
        <color rgb="FFFF0000"/>
        <rFont val="Calibri"/>
        <family val="2"/>
        <scheme val="minor"/>
      </rPr>
      <t xml:space="preserve"> red values </t>
    </r>
    <r>
      <rPr>
        <b/>
        <i/>
        <sz val="11"/>
        <color theme="1"/>
        <rFont val="Calibri"/>
        <family val="2"/>
        <scheme val="minor"/>
      </rPr>
      <t>with actual values</t>
    </r>
  </si>
  <si>
    <t>TRAVEL COSTS AS PART OF INCOME -FULL CALCULATION</t>
  </si>
  <si>
    <t>PUBLIC TRANSPORT PRICE -CONTRIBUTING CALCUATION</t>
  </si>
  <si>
    <t>Company 4</t>
  </si>
  <si>
    <t xml:space="preserve">Market shares </t>
  </si>
  <si>
    <t>Fare Revenues</t>
  </si>
  <si>
    <t>Transport Operating expenses</t>
  </si>
  <si>
    <t>Farebox ratio</t>
  </si>
  <si>
    <t>Weighted</t>
  </si>
  <si>
    <t>WEIGHTED FAREBOX RECOVERY RATE</t>
  </si>
  <si>
    <t>The table below is a severe simplification of a full table. A city may have dozens of rail stations and BRT stops and maybe hundreds of bus stops. Possibly also metro, tram etc. to add</t>
  </si>
  <si>
    <t>GENERAL DESCRIPTION OF AND LINKS TO MATERIAL USED TO COLLECT AND DERIVE THIS INDICATOR (more rows may be added)</t>
  </si>
  <si>
    <t>D16= C16*0.7854</t>
  </si>
  <si>
    <r>
      <t xml:space="preserve">(if the table is used replace </t>
    </r>
    <r>
      <rPr>
        <b/>
        <i/>
        <sz val="11"/>
        <color rgb="FFFF0000"/>
        <rFont val="Calibri"/>
        <family val="2"/>
        <scheme val="minor"/>
      </rPr>
      <t>red values</t>
    </r>
    <r>
      <rPr>
        <b/>
        <i/>
        <sz val="11"/>
        <color theme="1"/>
        <rFont val="Calibri"/>
        <family val="2"/>
        <scheme val="minor"/>
      </rPr>
      <t xml:space="preserve"> with real data</t>
    </r>
  </si>
  <si>
    <t>Back values are calculated</t>
  </si>
  <si>
    <r>
      <t xml:space="preserve">All example values </t>
    </r>
    <r>
      <rPr>
        <b/>
        <i/>
        <sz val="11"/>
        <color rgb="FFFF0000"/>
        <rFont val="Calibri"/>
        <family val="2"/>
        <scheme val="minor"/>
      </rPr>
      <t xml:space="preserve">in red </t>
    </r>
    <r>
      <rPr>
        <b/>
        <i/>
        <sz val="11"/>
        <color theme="1"/>
        <rFont val="Calibri"/>
        <family val="2"/>
        <scheme val="minor"/>
      </rPr>
      <t>to be deleted and replaced with actual if the table is used</t>
    </r>
  </si>
  <si>
    <t>CALCULATION SHEET</t>
  </si>
  <si>
    <t>average</t>
  </si>
  <si>
    <t>SHARE</t>
  </si>
  <si>
    <t>HYPOTHETIC EXAMPLE</t>
  </si>
  <si>
    <t>YEARS THAT THE INDICATOR CONCERNS</t>
  </si>
  <si>
    <t xml:space="preserve">to </t>
  </si>
  <si>
    <t>EXAMPLE TABLE WITH FOUR MEASUREMENT STATIONS REPRESENTING POPULATION</t>
  </si>
  <si>
    <t xml:space="preserve">PM10 </t>
  </si>
  <si>
    <t>Population</t>
  </si>
  <si>
    <t>Station</t>
  </si>
  <si>
    <t>Location</t>
  </si>
  <si>
    <t>yearly mean</t>
  </si>
  <si>
    <t>in area</t>
  </si>
  <si>
    <t>percentage</t>
  </si>
  <si>
    <t>Boulevard A</t>
  </si>
  <si>
    <t>Busy intersection B</t>
  </si>
  <si>
    <t>Street canyon C</t>
  </si>
  <si>
    <t>Rooftop / Background D</t>
  </si>
  <si>
    <t>Total city population</t>
  </si>
  <si>
    <t>Population weighted concentration</t>
  </si>
  <si>
    <t>Litres sold</t>
  </si>
  <si>
    <t>CO2-factor</t>
  </si>
  <si>
    <t>Emissions</t>
  </si>
  <si>
    <t>Emission/capita</t>
  </si>
  <si>
    <t>kg/l</t>
  </si>
  <si>
    <t>tons/year</t>
  </si>
  <si>
    <t>GASOLINE/PETROL</t>
  </si>
  <si>
    <t>DIESEL</t>
  </si>
  <si>
    <t>TOTAL</t>
  </si>
  <si>
    <t>Passenger cars</t>
  </si>
  <si>
    <t>MCs</t>
  </si>
  <si>
    <t>Freeways</t>
  </si>
  <si>
    <t>Arterials</t>
  </si>
  <si>
    <t>Local streets</t>
  </si>
  <si>
    <t>cul-de-sacs</t>
  </si>
  <si>
    <t>Collectors</t>
  </si>
  <si>
    <t>Pass cars</t>
  </si>
  <si>
    <t>Trucks</t>
  </si>
  <si>
    <t>Vehicle ADT</t>
  </si>
  <si>
    <t>Km road</t>
  </si>
  <si>
    <t>Vans</t>
  </si>
  <si>
    <t>Km/year</t>
  </si>
  <si>
    <t>Truck %</t>
  </si>
  <si>
    <t>Van %</t>
  </si>
  <si>
    <t>MC %</t>
  </si>
  <si>
    <t>Traffic</t>
  </si>
  <si>
    <t>Fuels and emissions</t>
  </si>
  <si>
    <t xml:space="preserve">Petrol </t>
  </si>
  <si>
    <t>Diesel</t>
  </si>
  <si>
    <t>Emission factors</t>
  </si>
  <si>
    <t>Total emissions</t>
  </si>
  <si>
    <t>BOTTOM UP  EXAMPLE -VERY SIMPLIFIED CALCULATION USING STANDARD VALUES FOR TRAFFIC VOLUMES AND EMISSIONS (MUST BE ADJUSTED TO LOCAL CIRCUMSTANCES)</t>
  </si>
  <si>
    <t>TOP DOWN EXAMPLE - VERY SIMPLIfIED CALCULATION BASED ON RBAN AREA FUEL SALES</t>
  </si>
  <si>
    <t>%</t>
  </si>
  <si>
    <t>GARAM CO2/km</t>
  </si>
  <si>
    <t>CO2 Ton/year</t>
  </si>
  <si>
    <t>TOTAL CO2</t>
  </si>
  <si>
    <t>TOTAL TRAFFIC</t>
  </si>
  <si>
    <t>INVESTMENTS BY THE CITY</t>
  </si>
  <si>
    <t>PUBLIC TRANSPORT FACILITIES</t>
  </si>
  <si>
    <t>TOTAL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</si>
</sst>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9"/>
      <color rgb="FFBFBFBF"/>
      <name val="Arial"/>
      <family val="2"/>
    </font>
    <font>
      <b/>
      <i/>
      <sz val="9"/>
      <color rgb="FFBFBFBF"/>
      <name val="Arial"/>
      <family val="2"/>
    </font>
    <font>
      <sz val="11"/>
      <color rgb="FF333333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11"/>
      <color rgb="FFFF0000"/>
      <name val="Calibri"/>
      <family val="2"/>
      <scheme val="minor"/>
    </font>
    <font>
      <b/>
      <i/>
      <sz val="10"/>
      <color rgb="FFBFBFBF"/>
      <name val="Arial"/>
      <family val="2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" fillId="0" borderId="0" xfId="0" applyFont="1"/>
    <xf numFmtId="2" fontId="0" fillId="0" borderId="12" xfId="0" applyNumberFormat="1" applyBorder="1"/>
    <xf numFmtId="2" fontId="0" fillId="0" borderId="0" xfId="0" applyNumberFormat="1"/>
    <xf numFmtId="0" fontId="1" fillId="0" borderId="5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0" xfId="0" applyFont="1"/>
    <xf numFmtId="0" fontId="1" fillId="0" borderId="8" xfId="0" applyFont="1" applyBorder="1"/>
    <xf numFmtId="164" fontId="5" fillId="0" borderId="4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5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2" fontId="0" fillId="0" borderId="11" xfId="0" applyNumberFormat="1" applyBorder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/>
    <xf numFmtId="0" fontId="0" fillId="0" borderId="11" xfId="0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0" fillId="2" borderId="1" xfId="0" applyFill="1" applyBorder="1"/>
    <xf numFmtId="0" fontId="0" fillId="2" borderId="2" xfId="0" applyFill="1" applyBorder="1"/>
    <xf numFmtId="0" fontId="10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2" fontId="0" fillId="3" borderId="15" xfId="0" applyNumberFormat="1" applyFill="1" applyBorder="1"/>
    <xf numFmtId="2" fontId="0" fillId="4" borderId="7" xfId="0" applyNumberFormat="1" applyFill="1" applyBorder="1"/>
    <xf numFmtId="2" fontId="0" fillId="4" borderId="2" xfId="0" applyNumberFormat="1" applyFill="1" applyBorder="1"/>
    <xf numFmtId="0" fontId="1" fillId="0" borderId="0" xfId="0" applyFont="1" applyAlignment="1">
      <alignment horizontal="left" vertical="top"/>
    </xf>
    <xf numFmtId="0" fontId="1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2" borderId="18" xfId="0" applyFill="1" applyBorder="1"/>
    <xf numFmtId="0" fontId="0" fillId="2" borderId="16" xfId="0" applyFill="1" applyBorder="1"/>
    <xf numFmtId="0" fontId="0" fillId="2" borderId="17" xfId="0" applyFill="1" applyBorder="1"/>
    <xf numFmtId="0" fontId="4" fillId="0" borderId="3" xfId="0" applyFont="1" applyBorder="1" applyAlignment="1">
      <alignment vertical="top" wrapText="1"/>
    </xf>
    <xf numFmtId="0" fontId="0" fillId="0" borderId="19" xfId="0" applyBorder="1"/>
    <xf numFmtId="0" fontId="1" fillId="3" borderId="13" xfId="0" applyFont="1" applyFill="1" applyBorder="1"/>
    <xf numFmtId="0" fontId="0" fillId="3" borderId="19" xfId="0" applyFill="1" applyBorder="1"/>
    <xf numFmtId="0" fontId="12" fillId="0" borderId="4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9" xfId="0" applyFont="1" applyBorder="1"/>
    <xf numFmtId="0" fontId="1" fillId="5" borderId="1" xfId="0" applyFont="1" applyFill="1" applyBorder="1"/>
    <xf numFmtId="0" fontId="1" fillId="5" borderId="19" xfId="0" applyFont="1" applyFill="1" applyBorder="1"/>
    <xf numFmtId="0" fontId="0" fillId="0" borderId="0" xfId="0" applyFill="1"/>
    <xf numFmtId="0" fontId="0" fillId="0" borderId="2" xfId="0" applyBorder="1"/>
    <xf numFmtId="0" fontId="4" fillId="3" borderId="13" xfId="0" applyFont="1" applyFill="1" applyBorder="1" applyAlignment="1">
      <alignment vertical="top"/>
    </xf>
    <xf numFmtId="0" fontId="1" fillId="6" borderId="1" xfId="0" applyFont="1" applyFill="1" applyBorder="1"/>
    <xf numFmtId="0" fontId="0" fillId="6" borderId="1" xfId="0" applyFill="1" applyBorder="1"/>
    <xf numFmtId="0" fontId="1" fillId="0" borderId="0" xfId="0" applyFont="1" applyBorder="1"/>
    <xf numFmtId="0" fontId="7" fillId="0" borderId="13" xfId="0" applyFont="1" applyBorder="1"/>
    <xf numFmtId="0" fontId="0" fillId="0" borderId="19" xfId="0" applyFill="1" applyBorder="1"/>
    <xf numFmtId="0" fontId="0" fillId="0" borderId="2" xfId="0" applyFill="1" applyBorder="1"/>
    <xf numFmtId="0" fontId="12" fillId="0" borderId="3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4" fillId="6" borderId="4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3" fontId="17" fillId="0" borderId="0" xfId="0" applyNumberFormat="1" applyFont="1"/>
    <xf numFmtId="0" fontId="13" fillId="0" borderId="0" xfId="0" applyFont="1" applyFill="1"/>
    <xf numFmtId="0" fontId="6" fillId="0" borderId="1" xfId="0" applyFont="1" applyBorder="1" applyAlignment="1">
      <alignment vertical="top"/>
    </xf>
    <xf numFmtId="0" fontId="18" fillId="0" borderId="2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0" fontId="18" fillId="0" borderId="4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3" fontId="19" fillId="0" borderId="4" xfId="0" applyNumberFormat="1" applyFont="1" applyBorder="1" applyAlignment="1">
      <alignment horizontal="right" vertical="top"/>
    </xf>
    <xf numFmtId="3" fontId="18" fillId="0" borderId="4" xfId="0" applyNumberFormat="1" applyFont="1" applyBorder="1" applyAlignment="1">
      <alignment horizontal="right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18" fillId="0" borderId="3" xfId="0" applyFont="1" applyFill="1" applyBorder="1" applyAlignment="1">
      <alignment vertical="top"/>
    </xf>
    <xf numFmtId="0" fontId="18" fillId="0" borderId="2" xfId="0" applyFont="1" applyBorder="1" applyAlignment="1">
      <alignment vertical="top" wrapText="1"/>
    </xf>
    <xf numFmtId="2" fontId="18" fillId="6" borderId="4" xfId="0" applyNumberFormat="1" applyFont="1" applyFill="1" applyBorder="1" applyAlignment="1">
      <alignment horizontal="right" vertical="top"/>
    </xf>
    <xf numFmtId="3" fontId="19" fillId="0" borderId="4" xfId="0" applyNumberFormat="1" applyFont="1" applyBorder="1" applyAlignment="1" applyProtection="1">
      <alignment horizontal="right" vertical="top"/>
      <protection locked="0"/>
    </xf>
    <xf numFmtId="0" fontId="0" fillId="0" borderId="1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8" borderId="4" xfId="0" applyFill="1" applyBorder="1" applyAlignment="1">
      <alignment horizontal="center" vertical="top" wrapText="1"/>
    </xf>
    <xf numFmtId="0" fontId="0" fillId="9" borderId="4" xfId="0" applyFill="1" applyBorder="1" applyAlignment="1">
      <alignment horizontal="center" vertical="top" wrapText="1"/>
    </xf>
    <xf numFmtId="0" fontId="0" fillId="10" borderId="4" xfId="0" applyFill="1" applyBorder="1" applyAlignment="1">
      <alignment horizontal="center" vertical="top" wrapText="1"/>
    </xf>
    <xf numFmtId="0" fontId="0" fillId="11" borderId="4" xfId="0" applyFill="1" applyBorder="1" applyAlignment="1">
      <alignment horizontal="center" vertical="top" wrapText="1"/>
    </xf>
    <xf numFmtId="0" fontId="0" fillId="12" borderId="4" xfId="0" applyFill="1" applyBorder="1" applyAlignment="1">
      <alignment horizontal="center" vertical="top" wrapText="1"/>
    </xf>
    <xf numFmtId="0" fontId="0" fillId="13" borderId="4" xfId="0" applyFill="1" applyBorder="1" applyAlignment="1">
      <alignment horizontal="center" vertical="top" wrapText="1"/>
    </xf>
    <xf numFmtId="0" fontId="0" fillId="0" borderId="4" xfId="0" applyBorder="1"/>
    <xf numFmtId="0" fontId="0" fillId="14" borderId="13" xfId="0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/>
    <xf numFmtId="0" fontId="1" fillId="0" borderId="9" xfId="0" applyFont="1" applyBorder="1" applyAlignment="1">
      <alignment vertical="top" wrapText="1"/>
    </xf>
    <xf numFmtId="0" fontId="0" fillId="0" borderId="5" xfId="0" applyBorder="1"/>
    <xf numFmtId="0" fontId="0" fillId="0" borderId="10" xfId="0" applyBorder="1"/>
    <xf numFmtId="0" fontId="0" fillId="0" borderId="8" xfId="0" applyBorder="1"/>
    <xf numFmtId="0" fontId="1" fillId="0" borderId="20" xfId="0" applyFont="1" applyBorder="1"/>
    <xf numFmtId="0" fontId="1" fillId="0" borderId="0" xfId="0" applyFont="1" applyFill="1" applyBorder="1"/>
    <xf numFmtId="1" fontId="0" fillId="0" borderId="19" xfId="0" applyNumberFormat="1" applyBorder="1"/>
    <xf numFmtId="1" fontId="2" fillId="0" borderId="4" xfId="0" applyNumberFormat="1" applyFont="1" applyBorder="1" applyAlignment="1">
      <alignment vertical="top" wrapText="1"/>
    </xf>
    <xf numFmtId="0" fontId="7" fillId="0" borderId="0" xfId="0" applyFont="1" applyFill="1" applyBorder="1"/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1" fillId="6" borderId="2" xfId="0" applyNumberFormat="1" applyFont="1" applyFill="1" applyBorder="1" applyAlignment="1">
      <alignment horizontal="center"/>
    </xf>
    <xf numFmtId="2" fontId="0" fillId="15" borderId="3" xfId="0" applyNumberFormat="1" applyFill="1" applyBorder="1"/>
    <xf numFmtId="0" fontId="1" fillId="0" borderId="0" xfId="0" applyFont="1" applyFill="1"/>
    <xf numFmtId="2" fontId="0" fillId="0" borderId="0" xfId="0" applyNumberFormat="1" applyFill="1"/>
    <xf numFmtId="0" fontId="7" fillId="0" borderId="19" xfId="0" applyFont="1" applyBorder="1"/>
    <xf numFmtId="0" fontId="1" fillId="0" borderId="5" xfId="0" applyFont="1" applyFill="1" applyBorder="1"/>
    <xf numFmtId="0" fontId="0" fillId="0" borderId="10" xfId="0" applyFont="1" applyFill="1" applyBorder="1"/>
    <xf numFmtId="0" fontId="1" fillId="0" borderId="10" xfId="0" applyFont="1" applyFill="1" applyBorder="1"/>
    <xf numFmtId="0" fontId="1" fillId="0" borderId="8" xfId="0" applyFont="1" applyFill="1" applyBorder="1"/>
    <xf numFmtId="0" fontId="1" fillId="0" borderId="13" xfId="0" applyFont="1" applyFill="1" applyBorder="1"/>
    <xf numFmtId="0" fontId="1" fillId="0" borderId="1" xfId="0" applyFont="1" applyFill="1" applyBorder="1" applyAlignment="1">
      <alignment horizontal="right"/>
    </xf>
    <xf numFmtId="0" fontId="0" fillId="0" borderId="11" xfId="0" applyFill="1" applyBorder="1"/>
    <xf numFmtId="0" fontId="20" fillId="0" borderId="12" xfId="0" applyFont="1" applyFill="1" applyBorder="1"/>
    <xf numFmtId="3" fontId="20" fillId="0" borderId="12" xfId="0" applyNumberFormat="1" applyFont="1" applyFill="1" applyBorder="1"/>
    <xf numFmtId="2" fontId="1" fillId="6" borderId="1" xfId="0" applyNumberFormat="1" applyFont="1" applyFill="1" applyBorder="1"/>
    <xf numFmtId="0" fontId="7" fillId="0" borderId="0" xfId="0" applyFont="1" applyFill="1"/>
    <xf numFmtId="0" fontId="22" fillId="0" borderId="0" xfId="0" applyFont="1" applyFill="1"/>
    <xf numFmtId="0" fontId="0" fillId="0" borderId="20" xfId="0" applyBorder="1"/>
    <xf numFmtId="0" fontId="1" fillId="0" borderId="13" xfId="0" applyFont="1" applyBorder="1"/>
    <xf numFmtId="0" fontId="1" fillId="0" borderId="19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10" xfId="0" applyFont="1" applyBorder="1"/>
    <xf numFmtId="0" fontId="13" fillId="0" borderId="0" xfId="0" applyFont="1" applyBorder="1"/>
    <xf numFmtId="0" fontId="13" fillId="0" borderId="20" xfId="0" applyFont="1" applyBorder="1"/>
    <xf numFmtId="0" fontId="0" fillId="0" borderId="12" xfId="0" applyBorder="1"/>
    <xf numFmtId="0" fontId="13" fillId="0" borderId="12" xfId="0" applyFont="1" applyBorder="1"/>
    <xf numFmtId="0" fontId="1" fillId="16" borderId="2" xfId="0" applyFont="1" applyFill="1" applyBorder="1"/>
    <xf numFmtId="3" fontId="0" fillId="0" borderId="0" xfId="0" applyNumberFormat="1"/>
    <xf numFmtId="164" fontId="0" fillId="0" borderId="0" xfId="0" applyNumberFormat="1"/>
    <xf numFmtId="0" fontId="1" fillId="0" borderId="19" xfId="0" applyFont="1" applyBorder="1"/>
    <xf numFmtId="0" fontId="1" fillId="0" borderId="19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16" borderId="1" xfId="0" applyFont="1" applyFill="1" applyBorder="1"/>
    <xf numFmtId="0" fontId="0" fillId="0" borderId="12" xfId="0" applyFill="1" applyBorder="1"/>
    <xf numFmtId="3" fontId="1" fillId="0" borderId="1" xfId="0" applyNumberFormat="1" applyFont="1" applyBorder="1"/>
    <xf numFmtId="164" fontId="1" fillId="6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Border="1"/>
    <xf numFmtId="0" fontId="20" fillId="0" borderId="0" xfId="0" applyFont="1" applyBorder="1"/>
    <xf numFmtId="0" fontId="0" fillId="0" borderId="0" xfId="0" applyFont="1" applyBorder="1"/>
    <xf numFmtId="164" fontId="0" fillId="0" borderId="0" xfId="0" applyNumberFormat="1" applyFont="1"/>
    <xf numFmtId="0" fontId="2" fillId="0" borderId="0" xfId="0" applyFont="1" applyFill="1" applyBorder="1"/>
    <xf numFmtId="3" fontId="2" fillId="0" borderId="0" xfId="0" applyNumberFormat="1" applyFont="1" applyBorder="1"/>
    <xf numFmtId="9" fontId="0" fillId="0" borderId="12" xfId="1" applyFont="1" applyBorder="1"/>
    <xf numFmtId="0" fontId="0" fillId="0" borderId="20" xfId="0" applyFill="1" applyBorder="1"/>
    <xf numFmtId="3" fontId="24" fillId="0" borderId="4" xfId="0" applyNumberFormat="1" applyFont="1" applyFill="1" applyBorder="1" applyAlignment="1">
      <alignment horizontal="right" vertical="top"/>
    </xf>
    <xf numFmtId="0" fontId="24" fillId="0" borderId="4" xfId="0" applyFont="1" applyFill="1" applyBorder="1" applyAlignment="1">
      <alignment vertical="top"/>
    </xf>
    <xf numFmtId="3" fontId="25" fillId="0" borderId="4" xfId="0" applyNumberFormat="1" applyFont="1" applyBorder="1" applyAlignment="1">
      <alignment horizontal="right" vertical="top"/>
    </xf>
    <xf numFmtId="0" fontId="26" fillId="0" borderId="2" xfId="0" applyFont="1" applyBorder="1"/>
    <xf numFmtId="0" fontId="7" fillId="0" borderId="13" xfId="0" applyFont="1" applyFill="1" applyBorder="1"/>
    <xf numFmtId="0" fontId="1" fillId="0" borderId="19" xfId="0" applyFont="1" applyFill="1" applyBorder="1"/>
    <xf numFmtId="0" fontId="27" fillId="0" borderId="13" xfId="0" applyFont="1" applyFill="1" applyBorder="1"/>
    <xf numFmtId="0" fontId="27" fillId="0" borderId="19" xfId="0" applyFont="1" applyFill="1" applyBorder="1"/>
    <xf numFmtId="0" fontId="27" fillId="0" borderId="2" xfId="0" applyFont="1" applyFill="1" applyBorder="1"/>
    <xf numFmtId="0" fontId="8" fillId="0" borderId="13" xfId="0" applyFont="1" applyFill="1" applyBorder="1"/>
    <xf numFmtId="0" fontId="8" fillId="0" borderId="19" xfId="0" applyFont="1" applyFill="1" applyBorder="1"/>
    <xf numFmtId="0" fontId="8" fillId="0" borderId="2" xfId="0" applyFont="1" applyFill="1" applyBorder="1"/>
    <xf numFmtId="4" fontId="2" fillId="0" borderId="0" xfId="0" applyNumberFormat="1" applyFont="1" applyFill="1" applyBorder="1"/>
    <xf numFmtId="0" fontId="1" fillId="0" borderId="2" xfId="0" applyFont="1" applyFill="1" applyBorder="1"/>
    <xf numFmtId="0" fontId="8" fillId="6" borderId="19" xfId="0" applyFont="1" applyFill="1" applyBorder="1"/>
    <xf numFmtId="0" fontId="0" fillId="0" borderId="1" xfId="0" applyBorder="1"/>
    <xf numFmtId="0" fontId="8" fillId="6" borderId="2" xfId="0" applyFont="1" applyFill="1" applyBorder="1"/>
    <xf numFmtId="0" fontId="0" fillId="0" borderId="13" xfId="0" applyFill="1" applyBorder="1"/>
    <xf numFmtId="0" fontId="1" fillId="0" borderId="1" xfId="0" applyFont="1" applyFill="1" applyBorder="1"/>
    <xf numFmtId="0" fontId="7" fillId="0" borderId="10" xfId="0" applyFont="1" applyFill="1" applyBorder="1"/>
    <xf numFmtId="0" fontId="1" fillId="0" borderId="12" xfId="0" applyFont="1" applyFill="1" applyBorder="1"/>
    <xf numFmtId="0" fontId="1" fillId="0" borderId="20" xfId="0" applyFont="1" applyFill="1" applyBorder="1"/>
    <xf numFmtId="0" fontId="13" fillId="0" borderId="10" xfId="0" applyFont="1" applyFill="1" applyBorder="1"/>
    <xf numFmtId="0" fontId="2" fillId="0" borderId="12" xfId="0" applyFont="1" applyFill="1" applyBorder="1"/>
    <xf numFmtId="2" fontId="0" fillId="0" borderId="12" xfId="0" applyNumberFormat="1" applyFill="1" applyBorder="1"/>
    <xf numFmtId="0" fontId="13" fillId="0" borderId="13" xfId="0" applyFont="1" applyFill="1" applyBorder="1"/>
    <xf numFmtId="0" fontId="0" fillId="0" borderId="1" xfId="0" applyFill="1" applyBorder="1"/>
    <xf numFmtId="0" fontId="2" fillId="0" borderId="1" xfId="0" applyFont="1" applyFill="1" applyBorder="1"/>
    <xf numFmtId="0" fontId="13" fillId="0" borderId="8" xfId="0" applyFont="1" applyFill="1" applyBorder="1"/>
    <xf numFmtId="0" fontId="1" fillId="0" borderId="9" xfId="0" applyFont="1" applyFill="1" applyBorder="1"/>
    <xf numFmtId="2" fontId="1" fillId="6" borderId="3" xfId="0" applyNumberFormat="1" applyFont="1" applyFill="1" applyBorder="1"/>
    <xf numFmtId="0" fontId="7" fillId="0" borderId="9" xfId="0" applyFont="1" applyBorder="1"/>
    <xf numFmtId="0" fontId="0" fillId="0" borderId="9" xfId="0" applyFill="1" applyBorder="1"/>
    <xf numFmtId="0" fontId="0" fillId="0" borderId="0" xfId="0" applyFont="1"/>
    <xf numFmtId="0" fontId="0" fillId="0" borderId="0" xfId="0" applyFont="1" applyFill="1"/>
    <xf numFmtId="0" fontId="1" fillId="0" borderId="6" xfId="0" applyFont="1" applyBorder="1"/>
    <xf numFmtId="0" fontId="1" fillId="0" borderId="6" xfId="0" applyFont="1" applyFill="1" applyBorder="1"/>
    <xf numFmtId="0" fontId="1" fillId="0" borderId="7" xfId="0" applyFont="1" applyFill="1" applyBorder="1"/>
    <xf numFmtId="4" fontId="0" fillId="0" borderId="0" xfId="0" applyNumberFormat="1" applyFont="1" applyFill="1" applyBorder="1"/>
    <xf numFmtId="165" fontId="0" fillId="0" borderId="0" xfId="0" applyNumberFormat="1" applyFont="1" applyFill="1" applyBorder="1"/>
    <xf numFmtId="4" fontId="0" fillId="0" borderId="20" xfId="0" applyNumberFormat="1" applyFont="1" applyFill="1" applyBorder="1"/>
    <xf numFmtId="4" fontId="0" fillId="0" borderId="9" xfId="0" applyNumberFormat="1" applyFont="1" applyFill="1" applyBorder="1"/>
    <xf numFmtId="165" fontId="0" fillId="0" borderId="9" xfId="0" applyNumberFormat="1" applyFont="1" applyFill="1" applyBorder="1"/>
    <xf numFmtId="4" fontId="0" fillId="0" borderId="4" xfId="0" applyNumberFormat="1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3" xfId="0" applyFont="1" applyBorder="1"/>
    <xf numFmtId="4" fontId="1" fillId="0" borderId="9" xfId="0" applyNumberFormat="1" applyFont="1" applyFill="1" applyBorder="1"/>
    <xf numFmtId="4" fontId="1" fillId="0" borderId="4" xfId="0" applyNumberFormat="1" applyFont="1" applyFill="1" applyBorder="1"/>
    <xf numFmtId="4" fontId="1" fillId="6" borderId="1" xfId="0" applyNumberFormat="1" applyFont="1" applyFill="1" applyBorder="1"/>
    <xf numFmtId="4" fontId="2" fillId="0" borderId="9" xfId="0" applyNumberFormat="1" applyFont="1" applyFill="1" applyBorder="1"/>
    <xf numFmtId="3" fontId="0" fillId="0" borderId="0" xfId="0" applyNumberFormat="1" applyFill="1" applyBorder="1"/>
    <xf numFmtId="3" fontId="0" fillId="0" borderId="0" xfId="0" applyNumberFormat="1" applyBorder="1"/>
    <xf numFmtId="3" fontId="0" fillId="0" borderId="20" xfId="0" applyNumberFormat="1" applyFill="1" applyBorder="1"/>
    <xf numFmtId="3" fontId="0" fillId="0" borderId="9" xfId="0" applyNumberFormat="1" applyBorder="1"/>
    <xf numFmtId="3" fontId="0" fillId="0" borderId="9" xfId="0" applyNumberFormat="1" applyFill="1" applyBorder="1"/>
    <xf numFmtId="3" fontId="0" fillId="0" borderId="4" xfId="0" applyNumberFormat="1" applyFill="1" applyBorder="1"/>
    <xf numFmtId="3" fontId="0" fillId="0" borderId="19" xfId="0" applyNumberFormat="1" applyBorder="1"/>
    <xf numFmtId="3" fontId="0" fillId="0" borderId="19" xfId="0" applyNumberFormat="1" applyFill="1" applyBorder="1"/>
    <xf numFmtId="3" fontId="0" fillId="0" borderId="2" xfId="0" applyNumberFormat="1" applyFill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6" xfId="0" applyNumberFormat="1" applyFill="1" applyBorder="1"/>
    <xf numFmtId="3" fontId="0" fillId="0" borderId="7" xfId="0" applyNumberFormat="1" applyFill="1" applyBorder="1"/>
    <xf numFmtId="3" fontId="0" fillId="0" borderId="3" xfId="0" applyNumberFormat="1" applyBorder="1"/>
    <xf numFmtId="3" fontId="0" fillId="0" borderId="12" xfId="0" applyNumberFormat="1" applyBorder="1"/>
    <xf numFmtId="4" fontId="2" fillId="0" borderId="19" xfId="0" applyNumberFormat="1" applyFont="1" applyFill="1" applyBorder="1"/>
    <xf numFmtId="3" fontId="1" fillId="0" borderId="6" xfId="0" applyNumberFormat="1" applyFont="1" applyBorder="1"/>
    <xf numFmtId="3" fontId="1" fillId="0" borderId="9" xfId="0" applyNumberFormat="1" applyFont="1" applyBorder="1"/>
    <xf numFmtId="3" fontId="1" fillId="0" borderId="9" xfId="0" applyNumberFormat="1" applyFont="1" applyBorder="1" applyAlignment="1">
      <alignment horizontal="right"/>
    </xf>
    <xf numFmtId="3" fontId="2" fillId="0" borderId="9" xfId="0" applyNumberFormat="1" applyFont="1" applyFill="1" applyBorder="1"/>
    <xf numFmtId="3" fontId="2" fillId="0" borderId="9" xfId="0" applyNumberFormat="1" applyFont="1" applyBorder="1"/>
    <xf numFmtId="3" fontId="2" fillId="0" borderId="0" xfId="0" applyNumberFormat="1" applyFont="1" applyFill="1" applyBorder="1"/>
    <xf numFmtId="3" fontId="1" fillId="0" borderId="0" xfId="0" applyNumberFormat="1" applyFont="1" applyBorder="1"/>
    <xf numFmtId="4" fontId="1" fillId="6" borderId="0" xfId="0" applyNumberFormat="1" applyFont="1" applyFill="1" applyBorder="1"/>
    <xf numFmtId="0" fontId="7" fillId="0" borderId="0" xfId="0" applyFont="1" applyBorder="1"/>
    <xf numFmtId="4" fontId="29" fillId="0" borderId="10" xfId="0" applyNumberFormat="1" applyFont="1" applyFill="1" applyBorder="1"/>
    <xf numFmtId="4" fontId="29" fillId="0" borderId="0" xfId="0" applyNumberFormat="1" applyFont="1" applyFill="1" applyBorder="1"/>
    <xf numFmtId="4" fontId="29" fillId="0" borderId="20" xfId="0" applyNumberFormat="1" applyFont="1" applyFill="1" applyBorder="1"/>
    <xf numFmtId="4" fontId="28" fillId="0" borderId="12" xfId="0" applyNumberFormat="1" applyFont="1" applyFill="1" applyBorder="1"/>
    <xf numFmtId="4" fontId="30" fillId="0" borderId="10" xfId="0" applyNumberFormat="1" applyFont="1" applyFill="1" applyBorder="1"/>
    <xf numFmtId="4" fontId="30" fillId="0" borderId="0" xfId="0" applyNumberFormat="1" applyFont="1" applyFill="1" applyBorder="1"/>
    <xf numFmtId="4" fontId="30" fillId="0" borderId="20" xfId="0" applyNumberFormat="1" applyFont="1" applyFill="1" applyBorder="1"/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 indent="10"/>
    </xf>
    <xf numFmtId="0" fontId="3" fillId="0" borderId="3" xfId="0" applyFont="1" applyBorder="1" applyAlignment="1">
      <alignment horizontal="left" vertical="top" wrapText="1" indent="10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8" fillId="0" borderId="13" xfId="0" applyFont="1" applyBorder="1" applyAlignment="1">
      <alignment vertical="top"/>
    </xf>
    <xf numFmtId="0" fontId="18" fillId="0" borderId="2" xfId="0" applyFont="1" applyBorder="1" applyAlignment="1">
      <alignment vertical="top"/>
    </xf>
    <xf numFmtId="0" fontId="18" fillId="0" borderId="13" xfId="0" applyFont="1" applyFill="1" applyBorder="1" applyAlignment="1">
      <alignment vertical="top"/>
    </xf>
    <xf numFmtId="0" fontId="18" fillId="0" borderId="2" xfId="0" applyFont="1" applyFill="1" applyBorder="1" applyAlignment="1">
      <alignment vertical="top"/>
    </xf>
    <xf numFmtId="0" fontId="18" fillId="0" borderId="19" xfId="0" applyFont="1" applyBorder="1" applyAlignment="1">
      <alignment vertical="top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Comparing cities all indicators</a:t>
            </a:r>
          </a:p>
        </c:rich>
      </c:tx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'B. DATA ENTRY'!$T$37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ENTRY'!$T$38:$T$47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ECDE-4A77-BD43-B5332978D540}"/>
            </c:ext>
          </c:extLst>
        </c:ser>
        <c:ser>
          <c:idx val="1"/>
          <c:order val="1"/>
          <c:tx>
            <c:strRef>
              <c:f>'B. DATA ENTRY'!$U$37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ENTRY'!$U$38:$U$47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1-ECDE-4A77-BD43-B5332978D540}"/>
            </c:ext>
          </c:extLst>
        </c:ser>
        <c:ser>
          <c:idx val="2"/>
          <c:order val="2"/>
          <c:tx>
            <c:strRef>
              <c:f>'B. DATA ENTRY'!$V$37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ENTRY'!$V$38:$V$47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ECDE-4A77-BD43-B5332978D540}"/>
            </c:ext>
          </c:extLst>
        </c:ser>
        <c:ser>
          <c:idx val="3"/>
          <c:order val="3"/>
          <c:tx>
            <c:strRef>
              <c:f>'B. DATA ENTRY'!$W$37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ENTRY'!$W$38:$W$47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3-ECDE-4A77-BD43-B5332978D540}"/>
            </c:ext>
          </c:extLst>
        </c:ser>
        <c:ser>
          <c:idx val="4"/>
          <c:order val="4"/>
          <c:tx>
            <c:strRef>
              <c:f>'B. DATA ENTRY'!$X$37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ENTRY'!$X$38:$X$47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4-ECDE-4A77-BD43-B5332978D540}"/>
            </c:ext>
          </c:extLst>
        </c:ser>
        <c:ser>
          <c:idx val="5"/>
          <c:order val="5"/>
          <c:tx>
            <c:strRef>
              <c:f>'B. DATA ENTRY'!$Y$37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ENTRY'!$Y$38:$Y$47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5-ECDE-4A77-BD43-B5332978D540}"/>
            </c:ext>
          </c:extLst>
        </c:ser>
        <c:ser>
          <c:idx val="6"/>
          <c:order val="6"/>
          <c:tx>
            <c:strRef>
              <c:f>'B. DATA ENTRY'!$Z$37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ENTRY'!$Z$38:$Z$47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6-ECDE-4A77-BD43-B5332978D540}"/>
            </c:ext>
          </c:extLst>
        </c:ser>
        <c:ser>
          <c:idx val="7"/>
          <c:order val="7"/>
          <c:tx>
            <c:strRef>
              <c:f>'B. DATA ENTRY'!$AA$37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'B. DATA ENTRY'!$S$38:$S$47</c:f>
              <c:numCache>
                <c:formatCode>General</c:formatCode>
                <c:ptCount val="10"/>
              </c:numCache>
            </c:numRef>
          </c:cat>
          <c:val>
            <c:numRef>
              <c:f>'B. DATA ENTRY'!$AA$38:$AA$47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7-ECDE-4A77-BD43-B5332978D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27744"/>
        <c:axId val="132141824"/>
      </c:radarChart>
      <c:catAx>
        <c:axId val="1321277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2141824"/>
        <c:crosses val="autoZero"/>
        <c:auto val="1"/>
        <c:lblAlgn val="ctr"/>
        <c:lblOffset val="100"/>
        <c:noMultiLvlLbl val="0"/>
      </c:catAx>
      <c:valAx>
        <c:axId val="13214182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3212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cat>
            <c:strRef>
              <c:f>'C. DIAGRAM'!$B$4:$B$13</c:f>
              <c:strCache>
                <c:ptCount val="10"/>
                <c:pt idx="0">
                  <c:v>Extent to which transport plans cover public transport, intermodal facilities and infrastructure for active modes</c:v>
                </c:pt>
                <c:pt idx="1">
                  <c:v>Modal share of active and public transport in commuting</c:v>
                </c:pt>
                <c:pt idx="2">
                  <c:v>Convenient access to public transport service</c:v>
                </c:pt>
                <c:pt idx="3">
                  <c:v>Public transport quality and reliability</c:v>
                </c:pt>
                <c:pt idx="4">
                  <c:v>Traffic fatalities  per 100.000 inhabitants</c:v>
                </c:pt>
                <c:pt idx="5">
                  <c:v>Affordability – travel costs as part of income</c:v>
                </c:pt>
                <c:pt idx="6">
                  <c:v>Operational costs of the public transport system</c:v>
                </c:pt>
                <c:pt idx="7">
                  <c:v>Investment in public transportation systems</c:v>
                </c:pt>
                <c:pt idx="8">
                  <c:v>Air quality (pm10)</c:v>
                </c:pt>
                <c:pt idx="9">
                  <c:v>Greenhouse gas emissions from transport</c:v>
                </c:pt>
              </c:strCache>
            </c:strRef>
          </c:cat>
          <c:val>
            <c:numRef>
              <c:f>'C. DIAGRAM'!$C$4:$C$13</c:f>
              <c:numCache>
                <c:formatCode>0.00</c:formatCode>
                <c:ptCount val="10"/>
                <c:pt idx="0">
                  <c:v>0</c:v>
                </c:pt>
                <c:pt idx="1">
                  <c:v>-12.5</c:v>
                </c:pt>
                <c:pt idx="2">
                  <c:v>-25</c:v>
                </c:pt>
                <c:pt idx="3">
                  <c:v>-46.153846153846153</c:v>
                </c:pt>
                <c:pt idx="4">
                  <c:v>100</c:v>
                </c:pt>
                <c:pt idx="5">
                  <c:v>111.11111111111111</c:v>
                </c:pt>
                <c:pt idx="6">
                  <c:v>-14.37908496732026</c:v>
                </c:pt>
                <c:pt idx="7">
                  <c:v>0</c:v>
                </c:pt>
                <c:pt idx="8">
                  <c:v>107.14285714285714</c:v>
                </c:pt>
                <c:pt idx="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E-49FB-B464-3A5E8CA1F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67168"/>
        <c:axId val="132168704"/>
      </c:radarChart>
      <c:catAx>
        <c:axId val="13216716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2168704"/>
        <c:crosses val="autoZero"/>
        <c:auto val="1"/>
        <c:lblAlgn val="ctr"/>
        <c:lblOffset val="100"/>
        <c:noMultiLvlLbl val="0"/>
      </c:catAx>
      <c:valAx>
        <c:axId val="132168704"/>
        <c:scaling>
          <c:orientation val="minMax"/>
        </c:scaling>
        <c:delete val="0"/>
        <c:axPos val="l"/>
        <c:majorGridlines/>
        <c:numFmt formatCode="0.00" sourceLinked="1"/>
        <c:majorTickMark val="cross"/>
        <c:minorTickMark val="none"/>
        <c:tickLblPos val="nextTo"/>
        <c:crossAx val="132167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49</xdr:row>
      <xdr:rowOff>47623</xdr:rowOff>
    </xdr:from>
    <xdr:to>
      <xdr:col>25</xdr:col>
      <xdr:colOff>276225</xdr:colOff>
      <xdr:row>77</xdr:row>
      <xdr:rowOff>161924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1438275</xdr:colOff>
      <xdr:row>2</xdr:row>
      <xdr:rowOff>180975</xdr:rowOff>
    </xdr:from>
    <xdr:to>
      <xdr:col>10</xdr:col>
      <xdr:colOff>361949</xdr:colOff>
      <xdr:row>13</xdr:row>
      <xdr:rowOff>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396240</xdr:colOff>
      <xdr:row>19</xdr:row>
      <xdr:rowOff>68580</xdr:rowOff>
    </xdr:from>
    <xdr:to>
      <xdr:col>6</xdr:col>
      <xdr:colOff>678180</xdr:colOff>
      <xdr:row>20</xdr:row>
      <xdr:rowOff>152400</xdr:rowOff>
    </xdr:to>
    <xdr:sp macro="" textlink="">
      <xdr:nvSpPr>
        <xdr:cNvPr id="2" name="Nedadgående pil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6713220" y="3611880"/>
          <a:ext cx="281940" cy="27432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a-DK" sz="1100"/>
        </a:p>
      </xdr:txBody>
    </xdr:sp>
    <xdr:clientData/>
  </xdr:twoCellAnchor>
  <xdr:twoCellAnchor>
    <xdr:from>
      <xdr:col>7</xdr:col>
      <xdr:colOff>396240</xdr:colOff>
      <xdr:row>19</xdr:row>
      <xdr:rowOff>76200</xdr:rowOff>
    </xdr:from>
    <xdr:to>
      <xdr:col>7</xdr:col>
      <xdr:colOff>678180</xdr:colOff>
      <xdr:row>20</xdr:row>
      <xdr:rowOff>160020</xdr:rowOff>
    </xdr:to>
    <xdr:sp macro="" textlink="">
      <xdr:nvSpPr>
        <xdr:cNvPr id="3" name="Nedadgående pil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726680" y="3619500"/>
          <a:ext cx="281940" cy="27432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a-DK" sz="1100"/>
        </a:p>
      </xdr:txBody>
    </xdr:sp>
    <xdr:clientData/>
  </xdr:twoCellAnchor>
  <xdr:twoCellAnchor>
    <xdr:from>
      <xdr:col>8</xdr:col>
      <xdr:colOff>365760</xdr:colOff>
      <xdr:row>19</xdr:row>
      <xdr:rowOff>60960</xdr:rowOff>
    </xdr:from>
    <xdr:to>
      <xdr:col>8</xdr:col>
      <xdr:colOff>647700</xdr:colOff>
      <xdr:row>20</xdr:row>
      <xdr:rowOff>144780</xdr:rowOff>
    </xdr:to>
    <xdr:sp macro="" textlink="">
      <xdr:nvSpPr>
        <xdr:cNvPr id="4" name="Nedadgående pil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8709660" y="3604260"/>
          <a:ext cx="281940" cy="27432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a-DK" sz="1100"/>
        </a:p>
      </xdr:txBody>
    </xdr:sp>
    <xdr:clientData/>
  </xdr:twoCellAnchor>
  <xdr:twoCellAnchor>
    <xdr:from>
      <xdr:col>9</xdr:col>
      <xdr:colOff>350520</xdr:colOff>
      <xdr:row>19</xdr:row>
      <xdr:rowOff>30480</xdr:rowOff>
    </xdr:from>
    <xdr:to>
      <xdr:col>9</xdr:col>
      <xdr:colOff>632460</xdr:colOff>
      <xdr:row>20</xdr:row>
      <xdr:rowOff>114300</xdr:rowOff>
    </xdr:to>
    <xdr:sp macro="" textlink="">
      <xdr:nvSpPr>
        <xdr:cNvPr id="5" name="Nedadgående pil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9707880" y="3573780"/>
          <a:ext cx="281940" cy="27432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opLeftCell="A10" workbookViewId="0">
      <selection activeCell="A8" sqref="A8"/>
    </sheetView>
  </sheetViews>
  <sheetFormatPr defaultRowHeight="15" x14ac:dyDescent="0.25"/>
  <cols>
    <col min="3" max="3" width="25.7109375" customWidth="1"/>
    <col min="4" max="4" width="64.140625" customWidth="1"/>
  </cols>
  <sheetData>
    <row r="1" spans="1:4" x14ac:dyDescent="0.25">
      <c r="D1" s="5" t="s">
        <v>46</v>
      </c>
    </row>
    <row r="2" spans="1:4" ht="15.75" thickBot="1" x14ac:dyDescent="0.3">
      <c r="D2" s="25" t="s">
        <v>45</v>
      </c>
    </row>
    <row r="3" spans="1:4" x14ac:dyDescent="0.25">
      <c r="A3" s="5" t="s">
        <v>37</v>
      </c>
      <c r="D3" s="45"/>
    </row>
    <row r="4" spans="1:4" x14ac:dyDescent="0.25">
      <c r="A4" s="5" t="s">
        <v>47</v>
      </c>
      <c r="D4" s="46"/>
    </row>
    <row r="5" spans="1:4" x14ac:dyDescent="0.25">
      <c r="A5" s="5" t="s">
        <v>49</v>
      </c>
      <c r="D5" s="46"/>
    </row>
    <row r="6" spans="1:4" x14ac:dyDescent="0.25">
      <c r="A6" s="5" t="s">
        <v>48</v>
      </c>
      <c r="D6" s="46"/>
    </row>
    <row r="7" spans="1:4" x14ac:dyDescent="0.25">
      <c r="A7" s="44" t="s">
        <v>168</v>
      </c>
      <c r="D7" s="46"/>
    </row>
    <row r="8" spans="1:4" x14ac:dyDescent="0.25">
      <c r="A8" s="5" t="s">
        <v>169</v>
      </c>
      <c r="D8" s="46"/>
    </row>
    <row r="9" spans="1:4" x14ac:dyDescent="0.25">
      <c r="A9" s="5"/>
      <c r="D9" s="46"/>
    </row>
    <row r="10" spans="1:4" ht="15.75" customHeight="1" thickBot="1" x14ac:dyDescent="0.3">
      <c r="B10" s="43"/>
      <c r="D10" s="47"/>
    </row>
    <row r="11" spans="1:4" ht="15.75" thickBot="1" x14ac:dyDescent="0.3">
      <c r="A11" s="5"/>
    </row>
    <row r="12" spans="1:4" ht="15.75" thickBot="1" x14ac:dyDescent="0.3">
      <c r="A12" s="5" t="s">
        <v>50</v>
      </c>
      <c r="D12" s="33"/>
    </row>
    <row r="13" spans="1:4" ht="15.75" thickBot="1" x14ac:dyDescent="0.3">
      <c r="A13" s="5"/>
    </row>
    <row r="14" spans="1:4" x14ac:dyDescent="0.25">
      <c r="A14" s="5" t="s">
        <v>51</v>
      </c>
      <c r="D14" s="45"/>
    </row>
    <row r="15" spans="1:4" x14ac:dyDescent="0.25">
      <c r="A15" s="5" t="s">
        <v>52</v>
      </c>
      <c r="D15" s="46"/>
    </row>
    <row r="16" spans="1:4" ht="15.75" thickBot="1" x14ac:dyDescent="0.3">
      <c r="A16" s="5" t="s">
        <v>53</v>
      </c>
      <c r="D16" s="47"/>
    </row>
    <row r="17" spans="1:8" ht="15.75" thickBot="1" x14ac:dyDescent="0.3">
      <c r="A17" s="5"/>
    </row>
    <row r="18" spans="1:8" ht="211.5" customHeight="1" thickBot="1" x14ac:dyDescent="0.3">
      <c r="A18" s="41" t="s">
        <v>44</v>
      </c>
      <c r="D18" s="33"/>
    </row>
    <row r="22" spans="1:8" x14ac:dyDescent="0.25">
      <c r="H22" s="2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8"/>
  <sheetViews>
    <sheetView workbookViewId="0">
      <selection activeCell="B27" sqref="B27"/>
    </sheetView>
  </sheetViews>
  <sheetFormatPr defaultRowHeight="15" x14ac:dyDescent="0.25"/>
  <cols>
    <col min="1" max="8" width="14.7109375" customWidth="1"/>
  </cols>
  <sheetData>
    <row r="1" spans="1:6" s="58" customFormat="1" ht="15.75" thickBot="1" x14ac:dyDescent="0.3">
      <c r="A1" s="57" t="s">
        <v>73</v>
      </c>
    </row>
    <row r="2" spans="1:6" ht="15.75" thickBot="1" x14ac:dyDescent="0.3"/>
    <row r="3" spans="1:6" s="51" customFormat="1" ht="15.75" thickBot="1" x14ac:dyDescent="0.3">
      <c r="A3" s="50" t="s">
        <v>111</v>
      </c>
    </row>
    <row r="7" spans="1:6" s="59" customFormat="1" x14ac:dyDescent="0.25"/>
    <row r="8" spans="1:6" ht="15.75" thickBot="1" x14ac:dyDescent="0.3"/>
    <row r="9" spans="1:6" s="51" customFormat="1" ht="15.75" thickBot="1" x14ac:dyDescent="0.3">
      <c r="A9" s="50" t="s">
        <v>71</v>
      </c>
    </row>
    <row r="10" spans="1:6" s="78" customFormat="1" x14ac:dyDescent="0.25">
      <c r="A10" s="126"/>
    </row>
    <row r="11" spans="1:6" s="59" customFormat="1" ht="15.75" thickBot="1" x14ac:dyDescent="0.3">
      <c r="A11" s="137" t="s">
        <v>210</v>
      </c>
    </row>
    <row r="12" spans="1:6" s="59" customFormat="1" ht="45.75" thickBot="1" x14ac:dyDescent="0.3">
      <c r="A12" s="153" t="s">
        <v>172</v>
      </c>
      <c r="B12" s="154" t="s">
        <v>185</v>
      </c>
      <c r="C12" s="154" t="s">
        <v>206</v>
      </c>
      <c r="D12" s="154" t="s">
        <v>207</v>
      </c>
      <c r="E12" s="168" t="s">
        <v>208</v>
      </c>
    </row>
    <row r="13" spans="1:6" s="59" customFormat="1" x14ac:dyDescent="0.25">
      <c r="A13" s="123" t="s">
        <v>173</v>
      </c>
      <c r="B13" s="173">
        <v>29</v>
      </c>
      <c r="C13" s="179">
        <v>2300000</v>
      </c>
      <c r="D13" s="179">
        <v>1970000</v>
      </c>
      <c r="E13" s="180">
        <f>C13/D13</f>
        <v>1.1675126903553299</v>
      </c>
      <c r="F13" s="25" t="s">
        <v>216</v>
      </c>
    </row>
    <row r="14" spans="1:6" s="59" customFormat="1" x14ac:dyDescent="0.25">
      <c r="A14" s="123" t="s">
        <v>174</v>
      </c>
      <c r="B14" s="173">
        <v>26</v>
      </c>
      <c r="C14" s="179">
        <v>27570000</v>
      </c>
      <c r="D14" s="179">
        <v>64834000</v>
      </c>
      <c r="E14" s="180">
        <f t="shared" ref="E14:E17" si="0">C14/D14</f>
        <v>0.42523984329209985</v>
      </c>
      <c r="F14" s="25" t="s">
        <v>215</v>
      </c>
    </row>
    <row r="15" spans="1:6" s="59" customFormat="1" x14ac:dyDescent="0.25">
      <c r="A15" s="158" t="s">
        <v>175</v>
      </c>
      <c r="B15" s="173">
        <v>17</v>
      </c>
      <c r="C15" s="179">
        <v>18356000</v>
      </c>
      <c r="D15" s="179">
        <v>23013600</v>
      </c>
      <c r="E15" s="180">
        <f t="shared" si="0"/>
        <v>0.79761532311328953</v>
      </c>
    </row>
    <row r="16" spans="1:6" s="59" customFormat="1" x14ac:dyDescent="0.25">
      <c r="A16" s="158" t="s">
        <v>204</v>
      </c>
      <c r="B16" s="173">
        <v>16</v>
      </c>
      <c r="C16" s="179">
        <v>8554700</v>
      </c>
      <c r="D16" s="179">
        <v>15132820</v>
      </c>
      <c r="E16" s="180">
        <f t="shared" si="0"/>
        <v>0.56530772189188794</v>
      </c>
    </row>
    <row r="17" spans="1:9" s="59" customFormat="1" ht="15.75" thickBot="1" x14ac:dyDescent="0.3">
      <c r="A17" s="158" t="s">
        <v>176</v>
      </c>
      <c r="B17" s="173">
        <v>12</v>
      </c>
      <c r="C17" s="179">
        <v>78666500</v>
      </c>
      <c r="D17" s="179">
        <v>199705000</v>
      </c>
      <c r="E17" s="180">
        <f t="shared" si="0"/>
        <v>0.39391352244560729</v>
      </c>
    </row>
    <row r="18" spans="1:9" s="59" customFormat="1" ht="15.75" thickBot="1" x14ac:dyDescent="0.3">
      <c r="A18" s="120" t="s">
        <v>164</v>
      </c>
      <c r="B18" s="49">
        <f>SUM(B13:B17)</f>
        <v>100</v>
      </c>
      <c r="C18" s="49"/>
      <c r="D18" s="166" t="s">
        <v>209</v>
      </c>
      <c r="E18" s="172">
        <f>(E13*B13)+(E14*B14)+(E15*B15)+(E16*B16)+(E17*B17)</f>
        <v>72.245450258442574</v>
      </c>
      <c r="F18" s="65" t="s">
        <v>74</v>
      </c>
      <c r="G18" s="66"/>
      <c r="H18" s="66"/>
      <c r="I18" s="67"/>
    </row>
    <row r="19" spans="1:9" s="59" customFormat="1" x14ac:dyDescent="0.25">
      <c r="B19" s="157" t="s">
        <v>184</v>
      </c>
      <c r="C19" s="157"/>
    </row>
    <row r="20" spans="1:9" ht="15.75" thickBot="1" x14ac:dyDescent="0.3"/>
    <row r="21" spans="1:9" ht="15.75" thickBot="1" x14ac:dyDescent="0.3">
      <c r="A21" s="61" t="s">
        <v>66</v>
      </c>
      <c r="B21" s="51"/>
      <c r="C21" s="63"/>
      <c r="D21" s="84" t="s">
        <v>110</v>
      </c>
      <c r="E21" s="60"/>
      <c r="F21" s="60"/>
    </row>
    <row r="22" spans="1:9" ht="15.75" thickBot="1" x14ac:dyDescent="0.3"/>
    <row r="23" spans="1:9" s="51" customFormat="1" ht="15.75" thickBot="1" x14ac:dyDescent="0.3">
      <c r="A23" s="50" t="s">
        <v>112</v>
      </c>
    </row>
    <row r="38" spans="1:5" x14ac:dyDescent="0.25">
      <c r="A38" s="77"/>
      <c r="B38" s="59"/>
      <c r="C38" s="59"/>
      <c r="D38" s="59"/>
      <c r="E38" s="5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6"/>
  <sheetViews>
    <sheetView workbookViewId="0">
      <selection activeCell="K25" sqref="K25"/>
    </sheetView>
  </sheetViews>
  <sheetFormatPr defaultRowHeight="15" x14ac:dyDescent="0.25"/>
  <cols>
    <col min="1" max="3" width="8.7109375" customWidth="1"/>
    <col min="4" max="4" width="2.5703125" customWidth="1"/>
    <col min="5" max="6" width="8.7109375" hidden="1" customWidth="1"/>
    <col min="7" max="11" width="10.7109375" customWidth="1"/>
    <col min="12" max="12" width="12.7109375" customWidth="1"/>
  </cols>
  <sheetData>
    <row r="1" spans="1:16" s="58" customFormat="1" ht="15.75" thickBot="1" x14ac:dyDescent="0.3">
      <c r="A1" s="57" t="s">
        <v>75</v>
      </c>
    </row>
    <row r="2" spans="1:16" ht="15.75" thickBot="1" x14ac:dyDescent="0.3"/>
    <row r="3" spans="1:16" s="51" customFormat="1" ht="15.75" thickBot="1" x14ac:dyDescent="0.3">
      <c r="A3" s="50" t="s">
        <v>111</v>
      </c>
    </row>
    <row r="7" spans="1:16" s="59" customFormat="1" x14ac:dyDescent="0.25"/>
    <row r="8" spans="1:16" ht="15.75" thickBot="1" x14ac:dyDescent="0.3"/>
    <row r="9" spans="1:16" s="51" customFormat="1" ht="15.75" thickBot="1" x14ac:dyDescent="0.3">
      <c r="A9" s="50" t="s">
        <v>71</v>
      </c>
    </row>
    <row r="10" spans="1:16" s="59" customFormat="1" ht="14.45" customHeight="1" x14ac:dyDescent="0.25"/>
    <row r="11" spans="1:16" s="59" customFormat="1" ht="14.45" customHeight="1" thickBot="1" x14ac:dyDescent="0.3">
      <c r="A11" s="137" t="s">
        <v>217</v>
      </c>
    </row>
    <row r="12" spans="1:16" s="59" customFormat="1" ht="14.45" customHeight="1" thickBot="1" x14ac:dyDescent="0.3">
      <c r="A12" s="186" t="s">
        <v>275</v>
      </c>
      <c r="B12" s="187"/>
      <c r="C12" s="187"/>
      <c r="D12" s="187"/>
      <c r="E12" s="187"/>
      <c r="F12" s="187" t="s">
        <v>34</v>
      </c>
      <c r="G12" s="188">
        <v>1</v>
      </c>
      <c r="H12" s="189">
        <v>2</v>
      </c>
      <c r="I12" s="189">
        <v>3</v>
      </c>
      <c r="J12" s="189">
        <v>4</v>
      </c>
      <c r="K12" s="190">
        <v>5</v>
      </c>
      <c r="L12" s="145" t="s">
        <v>218</v>
      </c>
    </row>
    <row r="13" spans="1:16" s="59" customFormat="1" ht="14.45" customHeight="1" x14ac:dyDescent="0.25">
      <c r="A13" s="142" t="s">
        <v>276</v>
      </c>
      <c r="B13" s="126"/>
      <c r="C13" s="126"/>
      <c r="D13" s="126"/>
      <c r="E13" s="126"/>
      <c r="F13" s="126"/>
      <c r="G13" s="258">
        <v>0</v>
      </c>
      <c r="H13" s="259">
        <v>0</v>
      </c>
      <c r="I13" s="259">
        <v>0</v>
      </c>
      <c r="J13" s="259">
        <v>0</v>
      </c>
      <c r="K13" s="260">
        <v>0</v>
      </c>
      <c r="L13" s="261">
        <f>SUM(G13:K13)/5</f>
        <v>0</v>
      </c>
      <c r="M13" s="25"/>
    </row>
    <row r="14" spans="1:16" s="59" customFormat="1" ht="14.45" customHeight="1" thickBot="1" x14ac:dyDescent="0.3">
      <c r="A14" s="142" t="s">
        <v>277</v>
      </c>
      <c r="B14" s="126"/>
      <c r="C14" s="126"/>
      <c r="D14" s="126"/>
      <c r="E14" s="126"/>
      <c r="F14" s="126"/>
      <c r="G14" s="258">
        <v>0</v>
      </c>
      <c r="H14" s="259">
        <v>0</v>
      </c>
      <c r="I14" s="259">
        <v>0</v>
      </c>
      <c r="J14" s="259">
        <v>0</v>
      </c>
      <c r="K14" s="260">
        <v>0</v>
      </c>
      <c r="L14" s="261">
        <f>SUM(G14:K14)/5</f>
        <v>0</v>
      </c>
      <c r="M14" s="25"/>
    </row>
    <row r="15" spans="1:16" s="59" customFormat="1" ht="14.45" customHeight="1" thickBot="1" x14ac:dyDescent="0.3">
      <c r="A15" s="186" t="s">
        <v>219</v>
      </c>
      <c r="B15" s="187"/>
      <c r="C15" s="187"/>
      <c r="D15" s="187"/>
      <c r="E15" s="187"/>
      <c r="F15" s="187"/>
      <c r="G15" s="188"/>
      <c r="H15" s="189"/>
      <c r="I15" s="189"/>
      <c r="J15" s="189"/>
      <c r="K15" s="190"/>
      <c r="L15" s="172" t="e">
        <f>(L13/L14)*100</f>
        <v>#DIV/0!</v>
      </c>
      <c r="M15" s="65" t="s">
        <v>74</v>
      </c>
      <c r="N15" s="66"/>
      <c r="O15" s="66"/>
      <c r="P15" s="67"/>
    </row>
    <row r="16" spans="1:16" s="59" customFormat="1" ht="14.45" customHeight="1" x14ac:dyDescent="0.25"/>
    <row r="17" spans="1:16" s="59" customFormat="1" ht="14.45" customHeight="1" thickBot="1" x14ac:dyDescent="0.3">
      <c r="A17" s="137" t="s">
        <v>220</v>
      </c>
    </row>
    <row r="18" spans="1:16" s="59" customFormat="1" ht="14.45" customHeight="1" thickBot="1" x14ac:dyDescent="0.3">
      <c r="A18" s="186" t="s">
        <v>60</v>
      </c>
      <c r="B18" s="187"/>
      <c r="C18" s="187"/>
      <c r="D18" s="187"/>
      <c r="E18" s="187"/>
      <c r="F18" s="187" t="s">
        <v>34</v>
      </c>
      <c r="G18" s="191">
        <v>2011</v>
      </c>
      <c r="H18" s="192">
        <v>2012</v>
      </c>
      <c r="I18" s="192">
        <v>2013</v>
      </c>
      <c r="J18" s="192">
        <v>2014</v>
      </c>
      <c r="K18" s="193">
        <v>2015</v>
      </c>
      <c r="L18" s="145" t="s">
        <v>218</v>
      </c>
    </row>
    <row r="19" spans="1:16" s="59" customFormat="1" ht="14.45" customHeight="1" x14ac:dyDescent="0.25">
      <c r="A19" s="142" t="s">
        <v>276</v>
      </c>
      <c r="B19" s="126"/>
      <c r="C19" s="126"/>
      <c r="D19" s="126"/>
      <c r="E19" s="126"/>
      <c r="F19" s="126"/>
      <c r="G19" s="262">
        <v>16100000</v>
      </c>
      <c r="H19" s="263">
        <v>14250000</v>
      </c>
      <c r="I19" s="263">
        <v>4650000</v>
      </c>
      <c r="J19" s="263">
        <v>6240000</v>
      </c>
      <c r="K19" s="264">
        <v>6640000</v>
      </c>
      <c r="L19" s="261">
        <f>SUM(G19:K19)/5</f>
        <v>9576000</v>
      </c>
      <c r="M19" s="25" t="s">
        <v>216</v>
      </c>
    </row>
    <row r="20" spans="1:16" s="59" customFormat="1" ht="14.45" customHeight="1" thickBot="1" x14ac:dyDescent="0.3">
      <c r="A20" s="142" t="s">
        <v>277</v>
      </c>
      <c r="B20" s="126"/>
      <c r="C20" s="126"/>
      <c r="D20" s="126"/>
      <c r="E20" s="126"/>
      <c r="F20" s="126"/>
      <c r="G20" s="262">
        <v>46350000</v>
      </c>
      <c r="H20" s="263">
        <v>41250000</v>
      </c>
      <c r="I20" s="263">
        <v>34776990</v>
      </c>
      <c r="J20" s="263">
        <v>35987600</v>
      </c>
      <c r="K20" s="264">
        <v>32776990</v>
      </c>
      <c r="L20" s="261">
        <f>SUM(G20:K20)/5</f>
        <v>38228316</v>
      </c>
      <c r="M20" s="25" t="s">
        <v>215</v>
      </c>
    </row>
    <row r="21" spans="1:16" s="59" customFormat="1" ht="14.45" customHeight="1" thickBot="1" x14ac:dyDescent="0.3">
      <c r="A21" s="186" t="s">
        <v>219</v>
      </c>
      <c r="B21" s="187"/>
      <c r="C21" s="187"/>
      <c r="D21" s="187"/>
      <c r="E21" s="187"/>
      <c r="F21" s="187"/>
      <c r="G21" s="144"/>
      <c r="H21" s="187"/>
      <c r="I21" s="187"/>
      <c r="J21" s="187"/>
      <c r="K21" s="195"/>
      <c r="L21" s="172">
        <f>(L19/L20)*100</f>
        <v>25.049494725323502</v>
      </c>
      <c r="M21" s="65" t="s">
        <v>74</v>
      </c>
      <c r="N21" s="66"/>
      <c r="O21" s="66"/>
      <c r="P21" s="67"/>
    </row>
    <row r="22" spans="1:16" s="59" customFormat="1" ht="14.45" customHeight="1" x14ac:dyDescent="0.25"/>
    <row r="23" spans="1:16" s="59" customFormat="1" ht="14.45" customHeight="1" thickBo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ht="14.45" customHeight="1" thickBot="1" x14ac:dyDescent="0.3">
      <c r="A24" s="61" t="s">
        <v>221</v>
      </c>
      <c r="B24" s="51"/>
      <c r="C24" s="49"/>
      <c r="D24" s="49"/>
      <c r="E24" s="196">
        <v>2011</v>
      </c>
      <c r="F24" s="197" t="s">
        <v>222</v>
      </c>
      <c r="G24" s="198">
        <v>2015</v>
      </c>
      <c r="J24" s="59"/>
      <c r="K24" s="59"/>
      <c r="L24" s="59"/>
      <c r="M24" s="59"/>
      <c r="N24" s="59"/>
    </row>
    <row r="25" spans="1:16" ht="15.75" thickBot="1" x14ac:dyDescent="0.3"/>
    <row r="26" spans="1:16" s="51" customFormat="1" ht="15.75" thickBot="1" x14ac:dyDescent="0.3">
      <c r="A26" s="50" t="s">
        <v>112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4"/>
  <sheetViews>
    <sheetView workbookViewId="0">
      <selection activeCell="D32" sqref="D32"/>
    </sheetView>
  </sheetViews>
  <sheetFormatPr defaultRowHeight="15" x14ac:dyDescent="0.25"/>
  <cols>
    <col min="1" max="1" width="10.7109375" customWidth="1"/>
    <col min="2" max="2" width="34" customWidth="1"/>
    <col min="3" max="7" width="12.7109375" customWidth="1"/>
  </cols>
  <sheetData>
    <row r="1" spans="1:9" s="58" customFormat="1" ht="15.75" thickBot="1" x14ac:dyDescent="0.3">
      <c r="A1" s="57" t="s">
        <v>76</v>
      </c>
    </row>
    <row r="2" spans="1:9" ht="15.75" thickBot="1" x14ac:dyDescent="0.3"/>
    <row r="3" spans="1:9" s="51" customFormat="1" ht="15.75" thickBot="1" x14ac:dyDescent="0.3">
      <c r="A3" s="50" t="s">
        <v>111</v>
      </c>
    </row>
    <row r="7" spans="1:9" s="59" customFormat="1" x14ac:dyDescent="0.25"/>
    <row r="8" spans="1:9" ht="15.75" thickBot="1" x14ac:dyDescent="0.3"/>
    <row r="9" spans="1:9" s="51" customFormat="1" ht="15.75" thickBot="1" x14ac:dyDescent="0.3">
      <c r="A9" s="50" t="s">
        <v>71</v>
      </c>
    </row>
    <row r="10" spans="1:9" s="59" customFormat="1" x14ac:dyDescent="0.25"/>
    <row r="11" spans="1:9" s="59" customFormat="1" ht="15.75" thickBot="1" x14ac:dyDescent="0.3">
      <c r="A11" s="137" t="s">
        <v>223</v>
      </c>
    </row>
    <row r="12" spans="1:9" s="59" customFormat="1" ht="15.75" thickBot="1" x14ac:dyDescent="0.3">
      <c r="A12" s="199"/>
      <c r="B12" s="66"/>
      <c r="C12" s="200" t="s">
        <v>224</v>
      </c>
      <c r="D12" s="200" t="s">
        <v>225</v>
      </c>
      <c r="E12" s="200" t="s">
        <v>225</v>
      </c>
      <c r="F12" s="67"/>
    </row>
    <row r="13" spans="1:9" s="59" customFormat="1" x14ac:dyDescent="0.25">
      <c r="A13" s="201" t="s">
        <v>226</v>
      </c>
      <c r="B13" s="126" t="s">
        <v>227</v>
      </c>
      <c r="C13" s="202" t="s">
        <v>228</v>
      </c>
      <c r="D13" s="202" t="s">
        <v>229</v>
      </c>
      <c r="E13" s="202" t="s">
        <v>230</v>
      </c>
      <c r="F13" s="203"/>
      <c r="G13" s="137"/>
      <c r="H13" s="137"/>
      <c r="I13" s="137"/>
    </row>
    <row r="14" spans="1:9" s="59" customFormat="1" x14ac:dyDescent="0.25">
      <c r="A14" s="204">
        <v>1</v>
      </c>
      <c r="B14" s="78" t="s">
        <v>231</v>
      </c>
      <c r="C14" s="205">
        <v>48</v>
      </c>
      <c r="D14" s="205">
        <v>650000</v>
      </c>
      <c r="E14" s="206">
        <f>D14/D$18%</f>
        <v>19.754437150498418</v>
      </c>
      <c r="F14" s="181"/>
      <c r="G14" s="25" t="s">
        <v>216</v>
      </c>
    </row>
    <row r="15" spans="1:9" s="59" customFormat="1" x14ac:dyDescent="0.25">
      <c r="A15" s="204">
        <v>2</v>
      </c>
      <c r="B15" s="78" t="s">
        <v>232</v>
      </c>
      <c r="C15" s="205">
        <v>66</v>
      </c>
      <c r="D15" s="205">
        <v>750000</v>
      </c>
      <c r="E15" s="206">
        <f t="shared" ref="E15:E18" si="0">D15/D$18%</f>
        <v>22.793581327498178</v>
      </c>
      <c r="F15" s="181"/>
      <c r="G15" s="25" t="s">
        <v>215</v>
      </c>
    </row>
    <row r="16" spans="1:9" s="59" customFormat="1" x14ac:dyDescent="0.25">
      <c r="A16" s="204">
        <v>3</v>
      </c>
      <c r="B16" s="78" t="s">
        <v>233</v>
      </c>
      <c r="C16" s="205">
        <v>81</v>
      </c>
      <c r="D16" s="205">
        <v>150000</v>
      </c>
      <c r="E16" s="206">
        <f t="shared" si="0"/>
        <v>4.5587162654996352</v>
      </c>
      <c r="F16" s="181"/>
    </row>
    <row r="17" spans="1:9" s="59" customFormat="1" ht="15.75" thickBot="1" x14ac:dyDescent="0.3">
      <c r="A17" s="204">
        <v>4</v>
      </c>
      <c r="B17" s="78" t="s">
        <v>234</v>
      </c>
      <c r="C17" s="205">
        <v>34.5</v>
      </c>
      <c r="D17" s="205">
        <v>1740400</v>
      </c>
      <c r="E17" s="206">
        <f t="shared" si="0"/>
        <v>52.893265256503767</v>
      </c>
      <c r="F17" s="181"/>
    </row>
    <row r="18" spans="1:9" s="59" customFormat="1" ht="15.75" thickBot="1" x14ac:dyDescent="0.3">
      <c r="A18" s="207"/>
      <c r="B18" s="66" t="s">
        <v>235</v>
      </c>
      <c r="C18" s="208"/>
      <c r="D18" s="209">
        <f>SUM(D14:D17)</f>
        <v>3290400</v>
      </c>
      <c r="E18" s="208">
        <f t="shared" si="0"/>
        <v>100</v>
      </c>
      <c r="F18" s="181"/>
    </row>
    <row r="19" spans="1:9" s="59" customFormat="1" ht="15.75" thickBot="1" x14ac:dyDescent="0.3">
      <c r="A19" s="210"/>
      <c r="B19" s="211" t="s">
        <v>236</v>
      </c>
      <c r="C19" s="212">
        <f>(C14*E14/100)+(C15*E15/100)+(C16*E16/100)+(C17*E17/100)</f>
        <v>46.466630196936542</v>
      </c>
      <c r="D19" s="213" t="s">
        <v>74</v>
      </c>
      <c r="E19" s="214"/>
      <c r="F19" s="67"/>
    </row>
    <row r="20" spans="1:9" s="59" customFormat="1" x14ac:dyDescent="0.25"/>
    <row r="21" spans="1:9" s="59" customFormat="1" ht="15.75" thickBot="1" x14ac:dyDescent="0.3">
      <c r="A21"/>
      <c r="B21"/>
      <c r="C21"/>
      <c r="D21"/>
      <c r="E21"/>
      <c r="F21"/>
      <c r="G21"/>
    </row>
    <row r="22" spans="1:9" ht="15.75" thickBot="1" x14ac:dyDescent="0.3">
      <c r="A22" s="61" t="s">
        <v>66</v>
      </c>
      <c r="B22" s="51"/>
      <c r="C22" s="63"/>
      <c r="D22" s="84" t="s">
        <v>110</v>
      </c>
      <c r="E22" s="60"/>
      <c r="F22" s="60"/>
      <c r="H22" s="59"/>
      <c r="I22" s="59"/>
    </row>
    <row r="23" spans="1:9" ht="15.75" thickBot="1" x14ac:dyDescent="0.3"/>
    <row r="24" spans="1:9" s="51" customFormat="1" ht="15.75" thickBot="1" x14ac:dyDescent="0.3">
      <c r="A24" s="50" t="s">
        <v>112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40"/>
  <sheetViews>
    <sheetView topLeftCell="A11" workbookViewId="0">
      <selection activeCell="I26" sqref="I26"/>
    </sheetView>
  </sheetViews>
  <sheetFormatPr defaultRowHeight="15" x14ac:dyDescent="0.25"/>
  <cols>
    <col min="1" max="1" width="18.28515625" customWidth="1"/>
    <col min="2" max="11" width="14.7109375" customWidth="1"/>
  </cols>
  <sheetData>
    <row r="1" spans="1:11" s="58" customFormat="1" ht="15.75" thickBot="1" x14ac:dyDescent="0.3">
      <c r="A1" s="57" t="s">
        <v>77</v>
      </c>
    </row>
    <row r="2" spans="1:11" ht="15.75" thickBot="1" x14ac:dyDescent="0.3"/>
    <row r="3" spans="1:11" s="51" customFormat="1" ht="15.75" thickBot="1" x14ac:dyDescent="0.3">
      <c r="A3" s="50" t="s">
        <v>111</v>
      </c>
    </row>
    <row r="7" spans="1:11" s="59" customFormat="1" x14ac:dyDescent="0.25"/>
    <row r="8" spans="1:11" ht="15.75" thickBot="1" x14ac:dyDescent="0.3"/>
    <row r="9" spans="1:11" s="51" customFormat="1" ht="15.75" thickBot="1" x14ac:dyDescent="0.3">
      <c r="A9" s="50" t="s">
        <v>71</v>
      </c>
    </row>
    <row r="10" spans="1:11" s="78" customFormat="1" x14ac:dyDescent="0.25">
      <c r="A10" s="126"/>
    </row>
    <row r="11" spans="1:11" s="59" customFormat="1" ht="15.75" thickBot="1" x14ac:dyDescent="0.3">
      <c r="A11" s="5" t="s">
        <v>268</v>
      </c>
      <c r="B11"/>
      <c r="C11"/>
      <c r="D11"/>
      <c r="E11"/>
      <c r="F11"/>
    </row>
    <row r="12" spans="1:11" s="59" customFormat="1" x14ac:dyDescent="0.25">
      <c r="A12" s="226" t="s">
        <v>262</v>
      </c>
      <c r="B12" s="217"/>
      <c r="C12" s="217"/>
      <c r="D12" s="217"/>
      <c r="E12" s="217"/>
      <c r="F12" s="217"/>
      <c r="G12" s="217" t="s">
        <v>258</v>
      </c>
      <c r="H12" s="218"/>
      <c r="I12" s="218"/>
      <c r="J12" s="218"/>
      <c r="K12" s="219"/>
    </row>
    <row r="13" spans="1:11" s="59" customFormat="1" x14ac:dyDescent="0.25">
      <c r="A13" s="161"/>
      <c r="B13" s="126" t="s">
        <v>256</v>
      </c>
      <c r="C13" s="64" t="s">
        <v>255</v>
      </c>
      <c r="D13" s="64" t="s">
        <v>259</v>
      </c>
      <c r="E13" s="126" t="s">
        <v>260</v>
      </c>
      <c r="F13" s="64" t="s">
        <v>261</v>
      </c>
      <c r="G13" s="64" t="s">
        <v>253</v>
      </c>
      <c r="H13" s="64" t="s">
        <v>254</v>
      </c>
      <c r="I13" s="126" t="s">
        <v>257</v>
      </c>
      <c r="J13" s="126" t="s">
        <v>247</v>
      </c>
      <c r="K13" s="203" t="s">
        <v>130</v>
      </c>
    </row>
    <row r="14" spans="1:11" s="59" customFormat="1" ht="15.75" thickBot="1" x14ac:dyDescent="0.3">
      <c r="A14" s="246" t="s">
        <v>248</v>
      </c>
      <c r="B14" s="252">
        <v>35</v>
      </c>
      <c r="C14" s="253">
        <v>50000</v>
      </c>
      <c r="D14" s="253">
        <v>18</v>
      </c>
      <c r="E14" s="253">
        <v>20</v>
      </c>
      <c r="F14" s="253">
        <v>0</v>
      </c>
      <c r="G14" s="236">
        <f>((100-(D14+E14+F14))%*C14*365)*B14</f>
        <v>396025000</v>
      </c>
      <c r="H14" s="236">
        <f>($C14*D14%)*$B14*365</f>
        <v>114975000</v>
      </c>
      <c r="I14" s="236">
        <f>($C14*E14%)*$B14*365</f>
        <v>127750000</v>
      </c>
      <c r="J14" s="236">
        <f>($C14*F14%)*$B14*365</f>
        <v>0</v>
      </c>
      <c r="K14" s="238">
        <f>SUM(G14:J14)</f>
        <v>638750000</v>
      </c>
    </row>
    <row r="15" spans="1:11" s="59" customFormat="1" x14ac:dyDescent="0.25">
      <c r="A15" s="247" t="s">
        <v>249</v>
      </c>
      <c r="B15" s="254">
        <v>320</v>
      </c>
      <c r="C15" s="179">
        <v>35000</v>
      </c>
      <c r="D15" s="179">
        <v>15</v>
      </c>
      <c r="E15" s="179">
        <v>15</v>
      </c>
      <c r="F15" s="179">
        <v>35</v>
      </c>
      <c r="G15" s="234">
        <f t="shared" ref="G15:G18" si="0">((100-(D15+E15+F15))%*C15*365)*B15</f>
        <v>1430800000</v>
      </c>
      <c r="H15" s="234">
        <f t="shared" ref="H15:H18" si="1">($C15*D15%)*$B15*365</f>
        <v>613200000</v>
      </c>
      <c r="I15" s="234">
        <f t="shared" ref="I15:I18" si="2">($C15*E15%)*$B15*365</f>
        <v>613200000</v>
      </c>
      <c r="J15" s="234">
        <f t="shared" ref="J15:J18" si="3">($C15*F15%)*$B15*365</f>
        <v>1430800000</v>
      </c>
      <c r="K15" s="235">
        <f t="shared" ref="K15:K19" si="4">SUM(G15:J15)</f>
        <v>4088000000</v>
      </c>
    </row>
    <row r="16" spans="1:11" s="59" customFormat="1" x14ac:dyDescent="0.25">
      <c r="A16" s="247" t="s">
        <v>252</v>
      </c>
      <c r="B16" s="254">
        <v>1200</v>
      </c>
      <c r="C16" s="179">
        <v>15000</v>
      </c>
      <c r="D16" s="179">
        <v>12</v>
      </c>
      <c r="E16" s="179">
        <v>15</v>
      </c>
      <c r="F16" s="179">
        <v>38</v>
      </c>
      <c r="G16" s="234">
        <f t="shared" si="0"/>
        <v>2299500000</v>
      </c>
      <c r="H16" s="234">
        <f t="shared" si="1"/>
        <v>788400000</v>
      </c>
      <c r="I16" s="234">
        <f t="shared" si="2"/>
        <v>985500000</v>
      </c>
      <c r="J16" s="234">
        <f t="shared" si="3"/>
        <v>2496600000</v>
      </c>
      <c r="K16" s="235">
        <f t="shared" si="4"/>
        <v>6570000000</v>
      </c>
    </row>
    <row r="17" spans="1:11" s="59" customFormat="1" x14ac:dyDescent="0.25">
      <c r="A17" s="247" t="s">
        <v>250</v>
      </c>
      <c r="B17" s="254">
        <v>4500</v>
      </c>
      <c r="C17" s="179">
        <v>7000</v>
      </c>
      <c r="D17" s="179">
        <v>8</v>
      </c>
      <c r="E17" s="179">
        <v>12</v>
      </c>
      <c r="F17" s="179">
        <v>40</v>
      </c>
      <c r="G17" s="234">
        <f t="shared" si="0"/>
        <v>4599000000</v>
      </c>
      <c r="H17" s="234">
        <f t="shared" si="1"/>
        <v>919800000</v>
      </c>
      <c r="I17" s="234">
        <f t="shared" si="2"/>
        <v>1379700000</v>
      </c>
      <c r="J17" s="234">
        <f t="shared" si="3"/>
        <v>4599000000</v>
      </c>
      <c r="K17" s="235">
        <f t="shared" si="4"/>
        <v>11497500000</v>
      </c>
    </row>
    <row r="18" spans="1:11" s="59" customFormat="1" ht="15.75" thickBot="1" x14ac:dyDescent="0.3">
      <c r="A18" s="247" t="s">
        <v>251</v>
      </c>
      <c r="B18" s="254">
        <v>1100</v>
      </c>
      <c r="C18" s="179">
        <v>500</v>
      </c>
      <c r="D18" s="179">
        <v>5</v>
      </c>
      <c r="E18" s="179">
        <v>10</v>
      </c>
      <c r="F18" s="179">
        <v>60</v>
      </c>
      <c r="G18" s="234">
        <f t="shared" si="0"/>
        <v>50187500</v>
      </c>
      <c r="H18" s="234">
        <f t="shared" si="1"/>
        <v>10037500</v>
      </c>
      <c r="I18" s="234">
        <f t="shared" si="2"/>
        <v>20075000</v>
      </c>
      <c r="J18" s="234">
        <f t="shared" si="3"/>
        <v>120450000</v>
      </c>
      <c r="K18" s="235">
        <f t="shared" si="4"/>
        <v>200750000</v>
      </c>
    </row>
    <row r="19" spans="1:11" s="59" customFormat="1" ht="15.75" thickBot="1" x14ac:dyDescent="0.3">
      <c r="A19" s="171" t="s">
        <v>274</v>
      </c>
      <c r="B19" s="239">
        <f>SUM(B14:B18)</f>
        <v>7155</v>
      </c>
      <c r="C19" s="239"/>
      <c r="D19" s="239"/>
      <c r="E19" s="239"/>
      <c r="F19" s="239"/>
      <c r="G19" s="239">
        <f>SUM(G14:G18)</f>
        <v>8775512500</v>
      </c>
      <c r="H19" s="240">
        <f>SUM(H14:H18)</f>
        <v>2446412500</v>
      </c>
      <c r="I19" s="240">
        <f t="shared" ref="I19:J19" si="5">SUM(I14:I18)</f>
        <v>3126225000</v>
      </c>
      <c r="J19" s="240">
        <f t="shared" si="5"/>
        <v>8646850000</v>
      </c>
      <c r="K19" s="241">
        <f t="shared" si="4"/>
        <v>22995000000</v>
      </c>
    </row>
    <row r="20" spans="1:11" s="59" customFormat="1" ht="15.75" thickBot="1" x14ac:dyDescent="0.3">
      <c r="A20" s="242"/>
      <c r="B20" s="243"/>
      <c r="C20" s="243"/>
      <c r="D20" s="249" t="s">
        <v>266</v>
      </c>
      <c r="E20" s="249" t="s">
        <v>267</v>
      </c>
      <c r="F20" s="243"/>
      <c r="G20" s="243"/>
      <c r="H20" s="244"/>
      <c r="I20" s="244"/>
      <c r="J20" s="244"/>
      <c r="K20" s="245"/>
    </row>
    <row r="21" spans="1:11" s="59" customFormat="1" ht="15.75" thickBot="1" x14ac:dyDescent="0.3">
      <c r="A21" s="171" t="s">
        <v>263</v>
      </c>
      <c r="B21" s="236"/>
      <c r="C21" s="251" t="s">
        <v>270</v>
      </c>
      <c r="D21" s="250" t="s">
        <v>271</v>
      </c>
      <c r="E21" s="250" t="s">
        <v>272</v>
      </c>
      <c r="F21" s="236"/>
      <c r="G21" s="236"/>
      <c r="H21" s="237"/>
      <c r="I21" s="237"/>
      <c r="J21" s="237"/>
      <c r="K21" s="238"/>
    </row>
    <row r="22" spans="1:11" s="59" customFormat="1" x14ac:dyDescent="0.25">
      <c r="A22" s="247" t="s">
        <v>246</v>
      </c>
      <c r="B22" s="234" t="s">
        <v>264</v>
      </c>
      <c r="C22" s="179">
        <v>70</v>
      </c>
      <c r="D22" s="179">
        <v>160</v>
      </c>
      <c r="E22" s="234">
        <f>((G$19*C22)%*D22)/1000000</f>
        <v>982857.4</v>
      </c>
      <c r="F22" s="234"/>
      <c r="G22" s="234"/>
      <c r="H22" s="233"/>
      <c r="I22" s="233"/>
      <c r="J22" s="233"/>
      <c r="K22" s="235"/>
    </row>
    <row r="23" spans="1:11" s="59" customFormat="1" x14ac:dyDescent="0.25">
      <c r="A23" s="247"/>
      <c r="B23" s="234" t="s">
        <v>265</v>
      </c>
      <c r="C23" s="179">
        <v>30</v>
      </c>
      <c r="D23" s="179">
        <v>120</v>
      </c>
      <c r="E23" s="234">
        <f>((G$19*C23)%*D23)/1000000</f>
        <v>315918.45</v>
      </c>
      <c r="F23" s="234"/>
      <c r="G23" s="234"/>
      <c r="H23" s="233"/>
      <c r="I23" s="233"/>
      <c r="J23" s="233"/>
      <c r="K23" s="235"/>
    </row>
    <row r="24" spans="1:11" s="59" customFormat="1" x14ac:dyDescent="0.25">
      <c r="A24" s="247" t="s">
        <v>257</v>
      </c>
      <c r="B24" s="234" t="s">
        <v>264</v>
      </c>
      <c r="C24" s="179">
        <v>50</v>
      </c>
      <c r="D24" s="179">
        <v>170</v>
      </c>
      <c r="E24" s="234">
        <f>((I$19*C24)%*D24)/1000000</f>
        <v>265729.125</v>
      </c>
      <c r="F24" s="234"/>
      <c r="G24" s="234"/>
      <c r="H24" s="233"/>
      <c r="I24" s="233"/>
      <c r="J24" s="233"/>
      <c r="K24" s="235"/>
    </row>
    <row r="25" spans="1:11" s="59" customFormat="1" x14ac:dyDescent="0.25">
      <c r="A25" s="247"/>
      <c r="B25" s="234" t="s">
        <v>265</v>
      </c>
      <c r="C25" s="179">
        <v>50</v>
      </c>
      <c r="D25" s="179">
        <v>130</v>
      </c>
      <c r="E25" s="234">
        <f>((I$19*C25)%*D25)/1000000</f>
        <v>203204.625</v>
      </c>
      <c r="F25" s="234"/>
      <c r="G25" s="234"/>
      <c r="H25" s="233"/>
      <c r="I25" s="233"/>
      <c r="J25" s="233"/>
      <c r="K25" s="235"/>
    </row>
    <row r="26" spans="1:11" s="59" customFormat="1" x14ac:dyDescent="0.25">
      <c r="A26" s="247" t="s">
        <v>254</v>
      </c>
      <c r="B26" s="234" t="s">
        <v>265</v>
      </c>
      <c r="C26" s="179">
        <v>100</v>
      </c>
      <c r="D26" s="179">
        <v>700</v>
      </c>
      <c r="E26" s="234">
        <f>((H$19*C26)%*D26)/1000000</f>
        <v>1712488.75</v>
      </c>
      <c r="F26" s="234"/>
      <c r="G26" s="234"/>
      <c r="H26" s="233"/>
      <c r="I26" s="233"/>
      <c r="J26" s="233"/>
      <c r="K26" s="235"/>
    </row>
    <row r="27" spans="1:11" s="59" customFormat="1" ht="15.75" thickBot="1" x14ac:dyDescent="0.3">
      <c r="A27" s="247" t="s">
        <v>247</v>
      </c>
      <c r="B27" s="234" t="s">
        <v>264</v>
      </c>
      <c r="C27" s="179">
        <v>100</v>
      </c>
      <c r="D27" s="179">
        <v>70</v>
      </c>
      <c r="E27" s="234">
        <f>((J$19*C27)%*D27)/1000000</f>
        <v>605279.5</v>
      </c>
      <c r="F27" s="234"/>
      <c r="G27" s="234"/>
      <c r="H27" s="233"/>
      <c r="I27" s="233"/>
      <c r="J27" s="233"/>
      <c r="K27" s="235"/>
    </row>
    <row r="28" spans="1:11" s="59" customFormat="1" ht="15.75" thickBot="1" x14ac:dyDescent="0.3">
      <c r="A28" s="171" t="s">
        <v>273</v>
      </c>
      <c r="B28" s="239"/>
      <c r="C28" s="239"/>
      <c r="D28" s="239"/>
      <c r="E28" s="239">
        <f>SUM(E22:E27)</f>
        <v>4085477.85</v>
      </c>
      <c r="F28" s="248">
        <v>3200000</v>
      </c>
      <c r="G28" s="231">
        <f>E28/F28</f>
        <v>1.2767118281250001</v>
      </c>
      <c r="H28" s="65" t="s">
        <v>74</v>
      </c>
      <c r="I28" s="241"/>
      <c r="J28" s="237"/>
      <c r="K28" s="238"/>
    </row>
    <row r="29" spans="1:11" s="59" customFormat="1" x14ac:dyDescent="0.25">
      <c r="A29" s="255"/>
      <c r="B29" s="234"/>
      <c r="C29" s="234"/>
      <c r="D29" s="234"/>
      <c r="E29" s="234"/>
      <c r="F29" s="194"/>
      <c r="G29" s="256"/>
      <c r="H29" s="257"/>
      <c r="I29" s="233"/>
      <c r="J29" s="233"/>
      <c r="K29" s="233"/>
    </row>
    <row r="30" spans="1:11" s="59" customFormat="1" x14ac:dyDescent="0.25">
      <c r="A30"/>
      <c r="B30"/>
      <c r="C30"/>
      <c r="D30"/>
      <c r="E30"/>
      <c r="F30"/>
      <c r="G30"/>
    </row>
    <row r="31" spans="1:11" s="59" customFormat="1" ht="15.75" thickBot="1" x14ac:dyDescent="0.3">
      <c r="A31" s="5" t="s">
        <v>269</v>
      </c>
      <c r="B31" s="215"/>
      <c r="C31" s="216"/>
      <c r="D31" s="216"/>
      <c r="E31" s="216"/>
      <c r="F31" s="216"/>
      <c r="G31"/>
    </row>
    <row r="32" spans="1:11" s="59" customFormat="1" x14ac:dyDescent="0.25">
      <c r="A32" s="226"/>
      <c r="B32" s="217" t="s">
        <v>237</v>
      </c>
      <c r="C32" s="218" t="s">
        <v>238</v>
      </c>
      <c r="D32" s="218" t="s">
        <v>239</v>
      </c>
      <c r="E32" s="218" t="s">
        <v>225</v>
      </c>
      <c r="F32" s="219" t="s">
        <v>240</v>
      </c>
      <c r="G32"/>
    </row>
    <row r="33" spans="1:10" s="59" customFormat="1" ht="15.75" thickBot="1" x14ac:dyDescent="0.3">
      <c r="A33" s="228"/>
      <c r="B33" s="229"/>
      <c r="C33" s="229" t="s">
        <v>241</v>
      </c>
      <c r="D33" s="229" t="s">
        <v>242</v>
      </c>
      <c r="E33" s="229"/>
      <c r="F33" s="230"/>
      <c r="G33"/>
    </row>
    <row r="34" spans="1:10" s="59" customFormat="1" x14ac:dyDescent="0.25">
      <c r="A34" s="227" t="s">
        <v>243</v>
      </c>
      <c r="B34" s="194">
        <v>784550000</v>
      </c>
      <c r="C34" s="221">
        <v>2.2715000000000001</v>
      </c>
      <c r="D34" s="220">
        <f>(B34*C34)/1000</f>
        <v>1782105.325</v>
      </c>
      <c r="E34" s="220"/>
      <c r="F34" s="222"/>
      <c r="G34" s="25" t="s">
        <v>216</v>
      </c>
    </row>
    <row r="35" spans="1:10" s="59" customFormat="1" ht="15.75" thickBot="1" x14ac:dyDescent="0.3">
      <c r="A35" s="228" t="s">
        <v>244</v>
      </c>
      <c r="B35" s="232">
        <v>420000000</v>
      </c>
      <c r="C35" s="224">
        <v>2.6760000000000002</v>
      </c>
      <c r="D35" s="223">
        <f>(B35*C35)/1000</f>
        <v>1123920</v>
      </c>
      <c r="E35" s="223"/>
      <c r="F35" s="225"/>
      <c r="G35" s="25" t="s">
        <v>215</v>
      </c>
    </row>
    <row r="36" spans="1:10" s="59" customFormat="1" ht="15.75" thickBot="1" x14ac:dyDescent="0.3">
      <c r="A36" s="228" t="s">
        <v>245</v>
      </c>
      <c r="B36" s="223"/>
      <c r="C36" s="223"/>
      <c r="D36" s="223">
        <f>SUM(D34:D35)</f>
        <v>2906025.3250000002</v>
      </c>
      <c r="E36" s="232">
        <v>3200000</v>
      </c>
      <c r="F36" s="231">
        <f>D36/E36</f>
        <v>0.90813291406250007</v>
      </c>
      <c r="G36" s="65" t="s">
        <v>74</v>
      </c>
      <c r="H36" s="66"/>
      <c r="I36" s="66"/>
      <c r="J36" s="67"/>
    </row>
    <row r="37" spans="1:10" s="59" customFormat="1" x14ac:dyDescent="0.25">
      <c r="A37"/>
      <c r="B37"/>
      <c r="C37"/>
      <c r="D37"/>
      <c r="E37"/>
      <c r="F37"/>
      <c r="G37"/>
    </row>
    <row r="38" spans="1:10" s="59" customFormat="1" ht="13.9" customHeight="1" x14ac:dyDescent="0.25">
      <c r="A38"/>
      <c r="B38"/>
      <c r="C38"/>
      <c r="D38"/>
      <c r="E38"/>
      <c r="F38"/>
      <c r="G38"/>
    </row>
    <row r="39" spans="1:10" ht="15.75" thickBot="1" x14ac:dyDescent="0.3"/>
    <row r="40" spans="1:10" s="51" customFormat="1" ht="15.75" thickBot="1" x14ac:dyDescent="0.3">
      <c r="A40" s="50" t="s">
        <v>112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"/>
  <sheetViews>
    <sheetView tabSelected="1" topLeftCell="A4" workbookViewId="0">
      <selection activeCell="F9" sqref="F9"/>
    </sheetView>
  </sheetViews>
  <sheetFormatPr defaultRowHeight="15" x14ac:dyDescent="0.25"/>
  <cols>
    <col min="1" max="1" width="7.5703125" customWidth="1"/>
    <col min="2" max="2" width="40.140625" customWidth="1"/>
    <col min="7" max="7" width="8.5703125" customWidth="1"/>
    <col min="8" max="8" width="21.7109375" customWidth="1"/>
    <col min="9" max="9" width="12.140625" customWidth="1"/>
    <col min="10" max="10" width="72.42578125" customWidth="1"/>
    <col min="19" max="19" width="49" customWidth="1"/>
  </cols>
  <sheetData>
    <row r="1" spans="1:12" x14ac:dyDescent="0.25">
      <c r="H1" s="5" t="s">
        <v>38</v>
      </c>
      <c r="I1" s="5"/>
      <c r="J1" s="5"/>
      <c r="K1" s="5"/>
      <c r="L1" s="5"/>
    </row>
    <row r="2" spans="1:12" ht="15.75" thickBot="1" x14ac:dyDescent="0.3">
      <c r="H2" s="42" t="s">
        <v>54</v>
      </c>
      <c r="I2" s="18"/>
    </row>
    <row r="3" spans="1:12" ht="15.75" customHeight="1" thickBot="1" x14ac:dyDescent="0.3">
      <c r="A3" s="265" t="s">
        <v>7</v>
      </c>
      <c r="B3" s="267" t="s">
        <v>8</v>
      </c>
      <c r="C3" s="9" t="s">
        <v>6</v>
      </c>
      <c r="D3" s="269" t="s">
        <v>10</v>
      </c>
      <c r="E3" s="271" t="s">
        <v>32</v>
      </c>
      <c r="F3" s="272"/>
      <c r="H3" s="30"/>
      <c r="I3" s="30"/>
      <c r="J3" s="3"/>
    </row>
    <row r="4" spans="1:12" ht="15.75" thickBot="1" x14ac:dyDescent="0.3">
      <c r="A4" s="266"/>
      <c r="B4" s="268"/>
      <c r="C4" s="10" t="s">
        <v>9</v>
      </c>
      <c r="D4" s="270"/>
      <c r="E4" s="10" t="s">
        <v>2</v>
      </c>
      <c r="F4" s="10" t="s">
        <v>3</v>
      </c>
      <c r="H4" s="31" t="s">
        <v>36</v>
      </c>
      <c r="I4" s="32" t="s">
        <v>34</v>
      </c>
      <c r="J4" s="29" t="s">
        <v>35</v>
      </c>
    </row>
    <row r="5" spans="1:12" ht="39.950000000000003" customHeight="1" thickBot="1" x14ac:dyDescent="0.3">
      <c r="A5" s="11">
        <v>1</v>
      </c>
      <c r="B5" s="12" t="s">
        <v>27</v>
      </c>
      <c r="C5" s="13" t="s">
        <v>11</v>
      </c>
      <c r="D5" s="35" t="s">
        <v>24</v>
      </c>
      <c r="E5" s="13">
        <v>0</v>
      </c>
      <c r="F5" s="13">
        <v>16</v>
      </c>
      <c r="H5" s="36">
        <v>0</v>
      </c>
      <c r="I5" s="33"/>
      <c r="J5" s="34"/>
    </row>
    <row r="6" spans="1:12" ht="39.950000000000003" customHeight="1" thickBot="1" x14ac:dyDescent="0.3">
      <c r="A6" s="11">
        <v>2</v>
      </c>
      <c r="B6" s="12" t="s">
        <v>0</v>
      </c>
      <c r="C6" s="13" t="s">
        <v>42</v>
      </c>
      <c r="D6" s="35" t="s">
        <v>24</v>
      </c>
      <c r="E6" s="13">
        <v>10</v>
      </c>
      <c r="F6" s="13">
        <v>90</v>
      </c>
      <c r="H6" s="36">
        <v>0</v>
      </c>
      <c r="I6" s="33"/>
      <c r="J6" s="34"/>
    </row>
    <row r="7" spans="1:12" ht="39.950000000000003" customHeight="1" thickBot="1" x14ac:dyDescent="0.3">
      <c r="A7" s="11">
        <v>3</v>
      </c>
      <c r="B7" s="12" t="s">
        <v>1</v>
      </c>
      <c r="C7" s="13" t="s">
        <v>28</v>
      </c>
      <c r="D7" s="35" t="s">
        <v>24</v>
      </c>
      <c r="E7" s="13">
        <v>20</v>
      </c>
      <c r="F7" s="13">
        <v>100</v>
      </c>
      <c r="H7" s="36">
        <v>0</v>
      </c>
      <c r="I7" s="33"/>
      <c r="J7" s="34"/>
    </row>
    <row r="8" spans="1:12" ht="39.950000000000003" customHeight="1" thickBot="1" x14ac:dyDescent="0.3">
      <c r="A8" s="11">
        <v>4</v>
      </c>
      <c r="B8" s="12" t="s">
        <v>30</v>
      </c>
      <c r="C8" s="13" t="s">
        <v>12</v>
      </c>
      <c r="D8" s="35" t="s">
        <v>24</v>
      </c>
      <c r="E8" s="13">
        <v>30</v>
      </c>
      <c r="F8" s="13">
        <v>95</v>
      </c>
      <c r="H8" s="36">
        <v>0</v>
      </c>
      <c r="I8" s="33"/>
      <c r="J8" s="34"/>
    </row>
    <row r="9" spans="1:12" ht="39.950000000000003" customHeight="1" thickBot="1" x14ac:dyDescent="0.3">
      <c r="A9" s="11">
        <v>5</v>
      </c>
      <c r="B9" s="12" t="s">
        <v>13</v>
      </c>
      <c r="C9" s="13" t="s">
        <v>14</v>
      </c>
      <c r="D9" s="35" t="s">
        <v>24</v>
      </c>
      <c r="E9" s="13">
        <v>35</v>
      </c>
      <c r="F9" s="13">
        <v>0</v>
      </c>
      <c r="H9" s="36">
        <v>0</v>
      </c>
      <c r="I9" s="33"/>
      <c r="J9" s="34"/>
    </row>
    <row r="10" spans="1:12" ht="39.950000000000003" customHeight="1" thickBot="1" x14ac:dyDescent="0.3">
      <c r="A10" s="11">
        <v>6</v>
      </c>
      <c r="B10" s="12" t="s">
        <v>200</v>
      </c>
      <c r="C10" s="13" t="s">
        <v>16</v>
      </c>
      <c r="D10" s="35" t="s">
        <v>24</v>
      </c>
      <c r="E10" s="13">
        <v>35</v>
      </c>
      <c r="F10" s="13">
        <v>3.5</v>
      </c>
      <c r="H10" s="36">
        <v>0</v>
      </c>
      <c r="I10" s="33"/>
      <c r="J10" s="34"/>
    </row>
    <row r="11" spans="1:12" ht="39.950000000000003" customHeight="1" thickBot="1" x14ac:dyDescent="0.3">
      <c r="A11" s="11">
        <v>7</v>
      </c>
      <c r="B11" s="12" t="s">
        <v>18</v>
      </c>
      <c r="C11" s="13" t="s">
        <v>19</v>
      </c>
      <c r="D11" s="35" t="s">
        <v>24</v>
      </c>
      <c r="E11" s="13">
        <v>22</v>
      </c>
      <c r="F11" s="13">
        <v>175</v>
      </c>
      <c r="H11" s="36">
        <v>0</v>
      </c>
      <c r="I11" s="33"/>
      <c r="J11" s="34"/>
    </row>
    <row r="12" spans="1:12" ht="39.950000000000003" customHeight="1" thickBot="1" x14ac:dyDescent="0.3">
      <c r="A12" s="11">
        <v>8</v>
      </c>
      <c r="B12" s="12" t="s">
        <v>20</v>
      </c>
      <c r="C12" s="13" t="s">
        <v>29</v>
      </c>
      <c r="D12" s="35" t="s">
        <v>24</v>
      </c>
      <c r="E12" s="13">
        <v>0</v>
      </c>
      <c r="F12" s="13">
        <v>50</v>
      </c>
      <c r="H12" s="36">
        <v>0</v>
      </c>
      <c r="I12" s="33"/>
      <c r="J12" s="34"/>
    </row>
    <row r="13" spans="1:12" ht="39.950000000000003" customHeight="1" thickBot="1" x14ac:dyDescent="0.3">
      <c r="A13" s="11">
        <v>9</v>
      </c>
      <c r="B13" s="12" t="s">
        <v>21</v>
      </c>
      <c r="C13" s="14" t="s">
        <v>5</v>
      </c>
      <c r="D13" s="35" t="s">
        <v>24</v>
      </c>
      <c r="E13" s="13">
        <v>150</v>
      </c>
      <c r="F13" s="13">
        <v>10</v>
      </c>
      <c r="H13" s="36">
        <v>0</v>
      </c>
      <c r="I13" s="33"/>
      <c r="J13" s="34"/>
    </row>
    <row r="14" spans="1:12" ht="39.950000000000003" customHeight="1" thickBot="1" x14ac:dyDescent="0.3">
      <c r="A14" s="11">
        <v>10</v>
      </c>
      <c r="B14" s="12" t="s">
        <v>22</v>
      </c>
      <c r="C14" s="13" t="s">
        <v>41</v>
      </c>
      <c r="D14" s="35" t="s">
        <v>24</v>
      </c>
      <c r="E14" s="13">
        <v>2.75</v>
      </c>
      <c r="F14" s="13">
        <v>0</v>
      </c>
      <c r="H14" s="36">
        <v>0</v>
      </c>
      <c r="I14" s="33"/>
      <c r="J14" s="34"/>
    </row>
    <row r="15" spans="1:12" ht="15.75" customHeight="1" thickBot="1" x14ac:dyDescent="0.3">
      <c r="A15" s="15"/>
      <c r="B15" s="273" t="s">
        <v>26</v>
      </c>
      <c r="C15" s="274"/>
      <c r="D15" s="20">
        <f>SUM(D5:D14)</f>
        <v>0</v>
      </c>
      <c r="E15" s="275"/>
      <c r="F15" s="276"/>
    </row>
    <row r="16" spans="1:12" x14ac:dyDescent="0.25">
      <c r="A16" s="28"/>
    </row>
    <row r="17" spans="1:8" ht="15.75" thickBot="1" x14ac:dyDescent="0.3">
      <c r="H17" s="5" t="s">
        <v>40</v>
      </c>
    </row>
    <row r="18" spans="1:8" ht="15.75" thickBot="1" x14ac:dyDescent="0.3">
      <c r="A18" s="265" t="s">
        <v>7</v>
      </c>
      <c r="B18" s="267" t="s">
        <v>8</v>
      </c>
      <c r="C18" s="9" t="s">
        <v>6</v>
      </c>
      <c r="D18" s="269" t="s">
        <v>10</v>
      </c>
      <c r="E18" s="271" t="s">
        <v>4</v>
      </c>
      <c r="F18" s="272"/>
      <c r="H18" s="16"/>
    </row>
    <row r="19" spans="1:8" ht="15.75" thickBot="1" x14ac:dyDescent="0.3">
      <c r="A19" s="266"/>
      <c r="B19" s="268"/>
      <c r="C19" s="10" t="s">
        <v>9</v>
      </c>
      <c r="D19" s="270"/>
      <c r="E19" s="10" t="s">
        <v>2</v>
      </c>
      <c r="F19" s="10" t="s">
        <v>3</v>
      </c>
      <c r="H19" s="17"/>
    </row>
    <row r="20" spans="1:8" ht="39.950000000000003" customHeight="1" thickBot="1" x14ac:dyDescent="0.3">
      <c r="A20" s="11">
        <v>1</v>
      </c>
      <c r="B20" s="12" t="str">
        <f>B5</f>
        <v>Extent to which transport plans cover public transport, intermodal facilities and infrastructure for active modes</v>
      </c>
      <c r="C20" s="13" t="str">
        <f>C5</f>
        <v>0 - 16 scale</v>
      </c>
      <c r="D20" s="35" t="str">
        <f>D5</f>
        <v>0.1</v>
      </c>
      <c r="E20" s="13">
        <v>0</v>
      </c>
      <c r="F20" s="13">
        <v>16</v>
      </c>
      <c r="H20" s="38">
        <f t="shared" ref="H20:H29" si="0">(H5-$E5)/($F5-$E5)*100</f>
        <v>0</v>
      </c>
    </row>
    <row r="21" spans="1:8" ht="39.950000000000003" customHeight="1" thickBot="1" x14ac:dyDescent="0.3">
      <c r="A21" s="11">
        <v>2</v>
      </c>
      <c r="B21" s="12" t="str">
        <f t="shared" ref="B21:D29" si="1">B6</f>
        <v>Modal share of active and public transport in commuting</v>
      </c>
      <c r="C21" s="13" t="str">
        <f t="shared" si="1"/>
        <v>% of trips</v>
      </c>
      <c r="D21" s="35" t="str">
        <f t="shared" si="1"/>
        <v>0.1</v>
      </c>
      <c r="E21" s="13">
        <v>10</v>
      </c>
      <c r="F21" s="13">
        <v>90</v>
      </c>
      <c r="H21" s="38">
        <f t="shared" si="0"/>
        <v>-12.5</v>
      </c>
    </row>
    <row r="22" spans="1:8" ht="39.950000000000003" customHeight="1" thickBot="1" x14ac:dyDescent="0.3">
      <c r="A22" s="11">
        <v>3</v>
      </c>
      <c r="B22" s="12" t="str">
        <f t="shared" si="1"/>
        <v>Convenient access to public transport service</v>
      </c>
      <c r="C22" s="13" t="str">
        <f t="shared" si="1"/>
        <v>% of population</v>
      </c>
      <c r="D22" s="35" t="str">
        <f t="shared" si="1"/>
        <v>0.1</v>
      </c>
      <c r="E22" s="13">
        <v>20</v>
      </c>
      <c r="F22" s="13">
        <v>100</v>
      </c>
      <c r="H22" s="38">
        <f t="shared" si="0"/>
        <v>-25</v>
      </c>
    </row>
    <row r="23" spans="1:8" ht="39.950000000000003" customHeight="1" thickBot="1" x14ac:dyDescent="0.3">
      <c r="A23" s="11">
        <v>4</v>
      </c>
      <c r="B23" s="12" t="str">
        <f t="shared" si="1"/>
        <v>Public transport quality and reliability</v>
      </c>
      <c r="C23" s="13" t="str">
        <f t="shared" si="1"/>
        <v>% satisfied</v>
      </c>
      <c r="D23" s="35" t="str">
        <f t="shared" si="1"/>
        <v>0.1</v>
      </c>
      <c r="E23" s="13">
        <v>30</v>
      </c>
      <c r="F23" s="13">
        <v>95</v>
      </c>
      <c r="H23" s="38">
        <f t="shared" si="0"/>
        <v>-46.153846153846153</v>
      </c>
    </row>
    <row r="24" spans="1:8" ht="39.950000000000003" customHeight="1" thickBot="1" x14ac:dyDescent="0.3">
      <c r="A24" s="11">
        <v>5</v>
      </c>
      <c r="B24" s="12" t="str">
        <f t="shared" si="1"/>
        <v>Traffic fatalities  per 100.000 inhabitants</v>
      </c>
      <c r="C24" s="13" t="str">
        <f t="shared" si="1"/>
        <v># fatalities</v>
      </c>
      <c r="D24" s="35" t="str">
        <f t="shared" si="1"/>
        <v>0.1</v>
      </c>
      <c r="E24" s="13">
        <v>0</v>
      </c>
      <c r="F24" s="13">
        <v>35</v>
      </c>
      <c r="H24" s="38">
        <f t="shared" si="0"/>
        <v>100</v>
      </c>
    </row>
    <row r="25" spans="1:8" ht="39.950000000000003" customHeight="1" thickBot="1" x14ac:dyDescent="0.3">
      <c r="A25" s="11">
        <v>6</v>
      </c>
      <c r="B25" s="12" t="str">
        <f t="shared" si="1"/>
        <v>Affordability – travel costs as share of income</v>
      </c>
      <c r="C25" s="13" t="str">
        <f t="shared" si="1"/>
        <v>% of income</v>
      </c>
      <c r="D25" s="35" t="str">
        <f t="shared" si="1"/>
        <v>0.1</v>
      </c>
      <c r="E25" s="13">
        <v>35</v>
      </c>
      <c r="F25" s="13" t="s">
        <v>17</v>
      </c>
      <c r="H25" s="38">
        <f t="shared" si="0"/>
        <v>111.11111111111111</v>
      </c>
    </row>
    <row r="26" spans="1:8" ht="39.950000000000003" customHeight="1" thickBot="1" x14ac:dyDescent="0.3">
      <c r="A26" s="11">
        <v>7</v>
      </c>
      <c r="B26" s="12" t="str">
        <f t="shared" si="1"/>
        <v>Operational costs of the public transport system</v>
      </c>
      <c r="C26" s="13" t="str">
        <f t="shared" si="1"/>
        <v>Cost recovery ratio</v>
      </c>
      <c r="D26" s="35" t="str">
        <f t="shared" si="1"/>
        <v>0.1</v>
      </c>
      <c r="E26" s="13">
        <v>22</v>
      </c>
      <c r="F26" s="13">
        <v>175</v>
      </c>
      <c r="H26" s="38">
        <f t="shared" si="0"/>
        <v>-14.37908496732026</v>
      </c>
    </row>
    <row r="27" spans="1:8" ht="39.950000000000003" customHeight="1" thickBot="1" x14ac:dyDescent="0.3">
      <c r="A27" s="11">
        <v>8</v>
      </c>
      <c r="B27" s="12" t="str">
        <f t="shared" si="1"/>
        <v>Investment in public transportation systems</v>
      </c>
      <c r="C27" s="13" t="str">
        <f t="shared" si="1"/>
        <v>% of total invest-ment</v>
      </c>
      <c r="D27" s="35" t="str">
        <f t="shared" si="1"/>
        <v>0.1</v>
      </c>
      <c r="E27" s="13">
        <v>0</v>
      </c>
      <c r="F27" s="13">
        <v>50</v>
      </c>
      <c r="H27" s="38">
        <f t="shared" si="0"/>
        <v>0</v>
      </c>
    </row>
    <row r="28" spans="1:8" ht="39.950000000000003" customHeight="1" thickBot="1" x14ac:dyDescent="0.3">
      <c r="A28" s="11">
        <v>9</v>
      </c>
      <c r="B28" s="12" t="str">
        <f t="shared" si="1"/>
        <v>Air quality (pm10)</v>
      </c>
      <c r="C28" s="13" t="str">
        <f t="shared" si="1"/>
        <v>μg/m3</v>
      </c>
      <c r="D28" s="35" t="str">
        <f t="shared" si="1"/>
        <v>0.1</v>
      </c>
      <c r="E28" s="13">
        <v>150</v>
      </c>
      <c r="F28" s="13">
        <v>10</v>
      </c>
      <c r="H28" s="38">
        <f t="shared" si="0"/>
        <v>107.14285714285714</v>
      </c>
    </row>
    <row r="29" spans="1:8" ht="39.950000000000003" customHeight="1" thickBot="1" x14ac:dyDescent="0.3">
      <c r="A29" s="11">
        <v>10</v>
      </c>
      <c r="B29" s="12" t="str">
        <f t="shared" si="1"/>
        <v>Greenhouse gas emissions from transport</v>
      </c>
      <c r="C29" s="13" t="str">
        <f t="shared" si="1"/>
        <v>Tons/cap</v>
      </c>
      <c r="D29" s="35" t="str">
        <f t="shared" si="1"/>
        <v>0.1</v>
      </c>
      <c r="E29" s="13">
        <v>2.75</v>
      </c>
      <c r="F29" s="13">
        <v>0</v>
      </c>
      <c r="H29" s="38">
        <f t="shared" si="0"/>
        <v>100</v>
      </c>
    </row>
    <row r="30" spans="1:8" ht="15.75" thickBot="1" x14ac:dyDescent="0.3">
      <c r="A30" s="15"/>
      <c r="B30" s="273" t="s">
        <v>26</v>
      </c>
      <c r="C30" s="274"/>
      <c r="D30" s="13" t="s">
        <v>25</v>
      </c>
      <c r="E30" s="275"/>
      <c r="F30" s="276"/>
      <c r="H30" s="7"/>
    </row>
    <row r="31" spans="1:8" x14ac:dyDescent="0.25">
      <c r="A31" s="25" t="s">
        <v>31</v>
      </c>
      <c r="B31" s="27"/>
      <c r="C31" s="27"/>
      <c r="D31" s="26"/>
      <c r="E31" s="26"/>
      <c r="F31" s="26"/>
      <c r="H31" s="7"/>
    </row>
    <row r="32" spans="1:8" ht="15.75" thickBot="1" x14ac:dyDescent="0.3">
      <c r="H32" s="5" t="s">
        <v>39</v>
      </c>
    </row>
    <row r="33" spans="4:8" x14ac:dyDescent="0.25">
      <c r="D33" s="8"/>
      <c r="E33" s="2"/>
      <c r="F33" s="2"/>
      <c r="G33" s="2"/>
      <c r="H33" s="24"/>
    </row>
    <row r="34" spans="4:8" x14ac:dyDescent="0.25">
      <c r="D34" s="21"/>
      <c r="E34" s="1"/>
      <c r="F34" s="1"/>
      <c r="G34" s="1"/>
      <c r="H34" s="6"/>
    </row>
    <row r="35" spans="4:8" ht="15.75" thickBot="1" x14ac:dyDescent="0.3">
      <c r="D35" s="19" t="s">
        <v>23</v>
      </c>
      <c r="E35" s="4" t="s">
        <v>33</v>
      </c>
      <c r="F35" s="4"/>
      <c r="G35" s="4"/>
      <c r="H35" s="136">
        <f>(H20*H21*H22*H23*H24*H25*H26*H27*H28*H29)^(1/10)</f>
        <v>0</v>
      </c>
    </row>
    <row r="38" spans="4:8" ht="39.950000000000003" customHeight="1" x14ac:dyDescent="0.25"/>
    <row r="39" spans="4:8" ht="39.950000000000003" customHeight="1" x14ac:dyDescent="0.25"/>
    <row r="40" spans="4:8" ht="39.950000000000003" customHeight="1" x14ac:dyDescent="0.25"/>
    <row r="41" spans="4:8" ht="39.950000000000003" customHeight="1" x14ac:dyDescent="0.25"/>
    <row r="42" spans="4:8" ht="39.950000000000003" customHeight="1" x14ac:dyDescent="0.25"/>
    <row r="43" spans="4:8" ht="39.950000000000003" customHeight="1" x14ac:dyDescent="0.25"/>
    <row r="44" spans="4:8" ht="39.950000000000003" customHeight="1" x14ac:dyDescent="0.25"/>
    <row r="45" spans="4:8" ht="39.950000000000003" customHeight="1" x14ac:dyDescent="0.25"/>
    <row r="46" spans="4:8" ht="39.950000000000003" customHeight="1" x14ac:dyDescent="0.25"/>
    <row r="47" spans="4:8" ht="39.950000000000003" customHeight="1" x14ac:dyDescent="0.25"/>
  </sheetData>
  <mergeCells count="12">
    <mergeCell ref="A18:A19"/>
    <mergeCell ref="B18:B19"/>
    <mergeCell ref="D18:D19"/>
    <mergeCell ref="E18:F18"/>
    <mergeCell ref="B30:C30"/>
    <mergeCell ref="E30:F30"/>
    <mergeCell ref="A3:A4"/>
    <mergeCell ref="B3:B4"/>
    <mergeCell ref="D3:D4"/>
    <mergeCell ref="E3:F3"/>
    <mergeCell ref="B15:C15"/>
    <mergeCell ref="E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3"/>
  <sheetViews>
    <sheetView workbookViewId="0">
      <selection activeCell="B8" sqref="B8"/>
    </sheetView>
  </sheetViews>
  <sheetFormatPr defaultRowHeight="15" x14ac:dyDescent="0.25"/>
  <cols>
    <col min="1" max="1" width="8.42578125" customWidth="1"/>
    <col min="2" max="2" width="40.140625" customWidth="1"/>
    <col min="4" max="4" width="53.85546875" customWidth="1"/>
  </cols>
  <sheetData>
    <row r="3" spans="1:3" ht="15.75" thickBot="1" x14ac:dyDescent="0.3">
      <c r="B3" s="5" t="s">
        <v>43</v>
      </c>
    </row>
    <row r="4" spans="1:3" ht="39.950000000000003" customHeight="1" thickBot="1" x14ac:dyDescent="0.3">
      <c r="A4" s="22">
        <v>1</v>
      </c>
      <c r="B4" s="22" t="s">
        <v>27</v>
      </c>
      <c r="C4" s="39">
        <f>'B. DATA ENTRY'!H20</f>
        <v>0</v>
      </c>
    </row>
    <row r="5" spans="1:3" ht="39.950000000000003" customHeight="1" thickBot="1" x14ac:dyDescent="0.3">
      <c r="A5" s="11">
        <v>2</v>
      </c>
      <c r="B5" s="11" t="s">
        <v>0</v>
      </c>
      <c r="C5" s="39">
        <f>'B. DATA ENTRY'!H21</f>
        <v>-12.5</v>
      </c>
    </row>
    <row r="6" spans="1:3" ht="39.950000000000003" customHeight="1" thickBot="1" x14ac:dyDescent="0.3">
      <c r="A6" s="11">
        <v>3</v>
      </c>
      <c r="B6" s="11" t="s">
        <v>1</v>
      </c>
      <c r="C6" s="39">
        <f>'B. DATA ENTRY'!H22</f>
        <v>-25</v>
      </c>
    </row>
    <row r="7" spans="1:3" ht="39.950000000000003" customHeight="1" thickBot="1" x14ac:dyDescent="0.3">
      <c r="A7" s="11">
        <v>4</v>
      </c>
      <c r="B7" s="11" t="s">
        <v>30</v>
      </c>
      <c r="C7" s="39">
        <f>'B. DATA ENTRY'!H23</f>
        <v>-46.153846153846153</v>
      </c>
    </row>
    <row r="8" spans="1:3" ht="39.950000000000003" customHeight="1" thickBot="1" x14ac:dyDescent="0.3">
      <c r="A8" s="11">
        <v>5</v>
      </c>
      <c r="B8" s="11" t="s">
        <v>13</v>
      </c>
      <c r="C8" s="39">
        <f>'B. DATA ENTRY'!H24</f>
        <v>100</v>
      </c>
    </row>
    <row r="9" spans="1:3" ht="39.950000000000003" customHeight="1" thickBot="1" x14ac:dyDescent="0.3">
      <c r="A9" s="11">
        <v>6</v>
      </c>
      <c r="B9" s="11" t="s">
        <v>15</v>
      </c>
      <c r="C9" s="39">
        <f>'B. DATA ENTRY'!H25</f>
        <v>111.11111111111111</v>
      </c>
    </row>
    <row r="10" spans="1:3" ht="39.950000000000003" customHeight="1" thickBot="1" x14ac:dyDescent="0.3">
      <c r="A10" s="11">
        <v>7</v>
      </c>
      <c r="B10" s="11" t="s">
        <v>18</v>
      </c>
      <c r="C10" s="39">
        <f>'B. DATA ENTRY'!H26</f>
        <v>-14.37908496732026</v>
      </c>
    </row>
    <row r="11" spans="1:3" ht="39.950000000000003" customHeight="1" thickBot="1" x14ac:dyDescent="0.3">
      <c r="A11" s="11">
        <v>8</v>
      </c>
      <c r="B11" s="11" t="s">
        <v>20</v>
      </c>
      <c r="C11" s="39">
        <f>'B. DATA ENTRY'!H27</f>
        <v>0</v>
      </c>
    </row>
    <row r="12" spans="1:3" ht="39.950000000000003" customHeight="1" thickBot="1" x14ac:dyDescent="0.3">
      <c r="A12" s="11">
        <v>9</v>
      </c>
      <c r="B12" s="11" t="s">
        <v>21</v>
      </c>
      <c r="C12" s="39">
        <f>'B. DATA ENTRY'!H28</f>
        <v>107.14285714285714</v>
      </c>
    </row>
    <row r="13" spans="1:3" ht="39.950000000000003" customHeight="1" thickBot="1" x14ac:dyDescent="0.3">
      <c r="A13" s="37">
        <v>10</v>
      </c>
      <c r="B13" s="11" t="s">
        <v>22</v>
      </c>
      <c r="C13" s="40">
        <f>'B. DATA ENTRY'!H29</f>
        <v>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workbookViewId="0">
      <selection activeCell="A4" sqref="A4"/>
    </sheetView>
  </sheetViews>
  <sheetFormatPr defaultRowHeight="15" x14ac:dyDescent="0.25"/>
  <cols>
    <col min="1" max="1" width="12" customWidth="1"/>
    <col min="2" max="2" width="62.28515625" customWidth="1"/>
    <col min="3" max="3" width="8.85546875" customWidth="1"/>
  </cols>
  <sheetData>
    <row r="1" spans="1:7" s="58" customFormat="1" ht="15.75" thickBot="1" x14ac:dyDescent="0.3">
      <c r="A1" s="57" t="s">
        <v>55</v>
      </c>
    </row>
    <row r="2" spans="1:7" ht="15.75" thickBot="1" x14ac:dyDescent="0.3"/>
    <row r="3" spans="1:7" s="51" customFormat="1" ht="15.75" thickBot="1" x14ac:dyDescent="0.3">
      <c r="A3" s="50" t="s">
        <v>212</v>
      </c>
    </row>
    <row r="7" spans="1:7" s="59" customFormat="1" x14ac:dyDescent="0.25"/>
    <row r="8" spans="1:7" ht="15.75" thickBot="1" x14ac:dyDescent="0.3"/>
    <row r="9" spans="1:7" s="51" customFormat="1" ht="15.75" thickBot="1" x14ac:dyDescent="0.3">
      <c r="A9" s="50" t="s">
        <v>67</v>
      </c>
    </row>
    <row r="10" spans="1:7" ht="15.75" thickBot="1" x14ac:dyDescent="0.3">
      <c r="A10" s="53" t="s">
        <v>56</v>
      </c>
      <c r="B10" s="54" t="s">
        <v>57</v>
      </c>
      <c r="C10" s="54" t="s">
        <v>58</v>
      </c>
    </row>
    <row r="11" spans="1:7" ht="25.15" customHeight="1" thickBot="1" x14ac:dyDescent="0.3">
      <c r="A11" s="48" t="s">
        <v>59</v>
      </c>
      <c r="B11" s="55" t="s">
        <v>60</v>
      </c>
      <c r="C11" s="52"/>
    </row>
    <row r="12" spans="1:7" ht="25.15" customHeight="1" thickBot="1" x14ac:dyDescent="0.3">
      <c r="A12" s="48" t="s">
        <v>61</v>
      </c>
      <c r="B12" s="55"/>
      <c r="C12" s="52"/>
    </row>
    <row r="13" spans="1:7" ht="25.15" customHeight="1" thickBot="1" x14ac:dyDescent="0.3">
      <c r="A13" s="48" t="s">
        <v>62</v>
      </c>
      <c r="B13" s="55"/>
      <c r="C13" s="52"/>
    </row>
    <row r="14" spans="1:7" ht="25.15" customHeight="1" thickBot="1" x14ac:dyDescent="0.3">
      <c r="A14" s="48" t="s">
        <v>63</v>
      </c>
      <c r="B14" s="55"/>
      <c r="C14" s="52"/>
    </row>
    <row r="15" spans="1:7" ht="15.75" thickBot="1" x14ac:dyDescent="0.3">
      <c r="A15" s="32" t="s">
        <v>64</v>
      </c>
      <c r="B15" s="56"/>
      <c r="C15" s="62">
        <f>SUM(C11:C14)</f>
        <v>0</v>
      </c>
      <c r="D15" s="65" t="s">
        <v>74</v>
      </c>
      <c r="E15" s="49"/>
      <c r="F15" s="49"/>
      <c r="G15" s="60"/>
    </row>
    <row r="16" spans="1:7" x14ac:dyDescent="0.25">
      <c r="A16" s="64"/>
      <c r="B16" s="64"/>
      <c r="D16" s="25"/>
    </row>
    <row r="17" spans="1:6" ht="15.75" thickBot="1" x14ac:dyDescent="0.3"/>
    <row r="18" spans="1:6" ht="15.75" thickBot="1" x14ac:dyDescent="0.3">
      <c r="A18" s="61" t="s">
        <v>66</v>
      </c>
      <c r="B18" s="51"/>
      <c r="C18" s="63"/>
      <c r="D18" s="84" t="s">
        <v>110</v>
      </c>
      <c r="E18" s="60"/>
      <c r="F18" s="60"/>
    </row>
    <row r="19" spans="1:6" ht="15.75" thickBot="1" x14ac:dyDescent="0.3"/>
    <row r="20" spans="1:6" s="51" customFormat="1" ht="15.75" thickBot="1" x14ac:dyDescent="0.3">
      <c r="A20" s="50" t="s">
        <v>112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7"/>
  <sheetViews>
    <sheetView topLeftCell="A11" workbookViewId="0">
      <selection activeCell="C30" sqref="C30"/>
    </sheetView>
  </sheetViews>
  <sheetFormatPr defaultRowHeight="15" x14ac:dyDescent="0.25"/>
  <cols>
    <col min="1" max="1" width="26" customWidth="1"/>
    <col min="2" max="5" width="14.7109375" customWidth="1"/>
  </cols>
  <sheetData>
    <row r="1" spans="1:5" s="58" customFormat="1" ht="15.75" thickBot="1" x14ac:dyDescent="0.3">
      <c r="A1" s="57" t="s">
        <v>65</v>
      </c>
    </row>
    <row r="2" spans="1:5" ht="15.75" thickBot="1" x14ac:dyDescent="0.3"/>
    <row r="3" spans="1:5" s="51" customFormat="1" ht="15.75" thickBot="1" x14ac:dyDescent="0.3">
      <c r="A3" s="50" t="s">
        <v>212</v>
      </c>
    </row>
    <row r="7" spans="1:5" s="59" customFormat="1" x14ac:dyDescent="0.25"/>
    <row r="8" spans="1:5" ht="15.75" thickBot="1" x14ac:dyDescent="0.3"/>
    <row r="9" spans="1:5" s="51" customFormat="1" ht="15.75" thickBot="1" x14ac:dyDescent="0.3">
      <c r="A9" s="50" t="s">
        <v>71</v>
      </c>
    </row>
    <row r="10" spans="1:5" s="78" customFormat="1" x14ac:dyDescent="0.25">
      <c r="A10" s="282" t="s">
        <v>78</v>
      </c>
      <c r="B10" s="283"/>
      <c r="C10" s="283"/>
      <c r="D10" s="283"/>
      <c r="E10" s="284"/>
    </row>
    <row r="11" spans="1:5" s="78" customFormat="1" ht="15.75" thickBot="1" x14ac:dyDescent="0.3">
      <c r="A11" s="285" t="s">
        <v>79</v>
      </c>
      <c r="B11" s="286"/>
      <c r="C11" s="286"/>
      <c r="D11" s="286"/>
      <c r="E11" s="287"/>
    </row>
    <row r="12" spans="1:5" s="78" customFormat="1" x14ac:dyDescent="0.25">
      <c r="A12" s="288" t="s">
        <v>80</v>
      </c>
      <c r="B12" s="290" t="s">
        <v>81</v>
      </c>
      <c r="C12" s="291"/>
      <c r="D12" s="292" t="s">
        <v>83</v>
      </c>
      <c r="E12" s="293"/>
    </row>
    <row r="13" spans="1:5" s="78" customFormat="1" ht="15.75" thickBot="1" x14ac:dyDescent="0.3">
      <c r="A13" s="289"/>
      <c r="B13" s="296" t="s">
        <v>82</v>
      </c>
      <c r="C13" s="297"/>
      <c r="D13" s="294"/>
      <c r="E13" s="295"/>
    </row>
    <row r="14" spans="1:5" s="78" customFormat="1" ht="15" customHeight="1" thickBot="1" x14ac:dyDescent="0.3">
      <c r="A14" s="68" t="s">
        <v>84</v>
      </c>
      <c r="B14" s="69" t="s">
        <v>7</v>
      </c>
      <c r="C14" s="69" t="s">
        <v>85</v>
      </c>
      <c r="D14" s="277" t="s">
        <v>86</v>
      </c>
      <c r="E14" s="278"/>
    </row>
    <row r="15" spans="1:5" s="78" customFormat="1" ht="15" customHeight="1" thickBot="1" x14ac:dyDescent="0.3">
      <c r="A15" s="70" t="s">
        <v>87</v>
      </c>
      <c r="B15" s="71"/>
      <c r="C15" s="279"/>
      <c r="D15" s="72"/>
      <c r="E15" s="72"/>
    </row>
    <row r="16" spans="1:5" s="78" customFormat="1" ht="15" customHeight="1" thickBot="1" x14ac:dyDescent="0.3">
      <c r="A16" s="70" t="s">
        <v>88</v>
      </c>
      <c r="B16" s="71"/>
      <c r="C16" s="280"/>
      <c r="D16" s="72"/>
      <c r="E16" s="72"/>
    </row>
    <row r="17" spans="1:5" s="78" customFormat="1" ht="15" customHeight="1" thickBot="1" x14ac:dyDescent="0.3">
      <c r="A17" s="70" t="s">
        <v>89</v>
      </c>
      <c r="B17" s="71"/>
      <c r="C17" s="280"/>
      <c r="D17" s="72"/>
      <c r="E17" s="72"/>
    </row>
    <row r="18" spans="1:5" s="78" customFormat="1" ht="15" customHeight="1" thickBot="1" x14ac:dyDescent="0.3">
      <c r="A18" s="70" t="s">
        <v>90</v>
      </c>
      <c r="B18" s="14"/>
      <c r="C18" s="281"/>
      <c r="D18" s="72"/>
      <c r="E18" s="72"/>
    </row>
    <row r="19" spans="1:5" s="78" customFormat="1" ht="15" customHeight="1" thickBot="1" x14ac:dyDescent="0.3">
      <c r="A19" s="73" t="s">
        <v>91</v>
      </c>
      <c r="B19" s="74" t="s">
        <v>92</v>
      </c>
      <c r="C19" s="74">
        <f>SUM(B15:B18)</f>
        <v>0</v>
      </c>
      <c r="D19" s="72"/>
      <c r="E19" s="72"/>
    </row>
    <row r="20" spans="1:5" s="78" customFormat="1" ht="15" customHeight="1" thickBot="1" x14ac:dyDescent="0.3">
      <c r="A20" s="70" t="s">
        <v>93</v>
      </c>
      <c r="B20" s="71"/>
      <c r="C20" s="85"/>
      <c r="D20" s="72"/>
      <c r="E20" s="72"/>
    </row>
    <row r="21" spans="1:5" s="78" customFormat="1" ht="15" customHeight="1" thickBot="1" x14ac:dyDescent="0.3">
      <c r="A21" s="70" t="s">
        <v>94</v>
      </c>
      <c r="B21" s="71"/>
      <c r="C21" s="86"/>
      <c r="D21" s="72"/>
      <c r="E21" s="72"/>
    </row>
    <row r="22" spans="1:5" s="78" customFormat="1" ht="15" customHeight="1" thickBot="1" x14ac:dyDescent="0.3">
      <c r="A22" s="73" t="s">
        <v>95</v>
      </c>
      <c r="B22" s="74" t="s">
        <v>96</v>
      </c>
      <c r="C22" s="74">
        <f>B20+B21</f>
        <v>0</v>
      </c>
      <c r="D22" s="72"/>
      <c r="E22" s="72"/>
    </row>
    <row r="23" spans="1:5" s="78" customFormat="1" ht="15" customHeight="1" thickBot="1" x14ac:dyDescent="0.3">
      <c r="A23" s="70" t="s">
        <v>97</v>
      </c>
      <c r="B23" s="71"/>
      <c r="C23" s="71"/>
      <c r="D23" s="72"/>
      <c r="E23" s="72"/>
    </row>
    <row r="24" spans="1:5" s="78" customFormat="1" ht="15" customHeight="1" thickBot="1" x14ac:dyDescent="0.3">
      <c r="A24" s="70" t="s">
        <v>98</v>
      </c>
      <c r="B24" s="71"/>
      <c r="C24" s="71"/>
      <c r="D24" s="72"/>
      <c r="E24" s="72"/>
    </row>
    <row r="25" spans="1:5" s="78" customFormat="1" ht="15" customHeight="1" thickBot="1" x14ac:dyDescent="0.3">
      <c r="A25" s="70" t="s">
        <v>99</v>
      </c>
      <c r="B25" s="71"/>
      <c r="C25" s="71"/>
      <c r="D25" s="72"/>
      <c r="E25" s="72"/>
    </row>
    <row r="26" spans="1:5" s="78" customFormat="1" ht="15" customHeight="1" thickBot="1" x14ac:dyDescent="0.3">
      <c r="A26" s="70" t="s">
        <v>100</v>
      </c>
      <c r="B26" s="71"/>
      <c r="C26" s="71"/>
      <c r="D26" s="72"/>
      <c r="E26" s="72"/>
    </row>
    <row r="27" spans="1:5" s="78" customFormat="1" ht="15" customHeight="1" thickBot="1" x14ac:dyDescent="0.3">
      <c r="A27" s="70" t="s">
        <v>101</v>
      </c>
      <c r="B27" s="71"/>
      <c r="C27" s="71"/>
      <c r="D27" s="72"/>
      <c r="E27" s="72"/>
    </row>
    <row r="28" spans="1:5" s="78" customFormat="1" ht="15" customHeight="1" thickBot="1" x14ac:dyDescent="0.3">
      <c r="A28" s="80" t="s">
        <v>103</v>
      </c>
      <c r="B28" s="71"/>
      <c r="C28" s="71"/>
      <c r="D28" s="72"/>
      <c r="E28" s="72"/>
    </row>
    <row r="29" spans="1:5" s="59" customFormat="1" ht="15" customHeight="1" thickBot="1" x14ac:dyDescent="0.3">
      <c r="A29" s="73" t="s">
        <v>104</v>
      </c>
      <c r="B29" s="81" t="s">
        <v>108</v>
      </c>
      <c r="C29" s="81">
        <f>SUM(B23:B28)</f>
        <v>0</v>
      </c>
      <c r="D29" s="72"/>
      <c r="E29" s="72"/>
    </row>
    <row r="30" spans="1:5" s="59" customFormat="1" ht="15" customHeight="1" thickBot="1" x14ac:dyDescent="0.3">
      <c r="A30" s="68" t="s">
        <v>105</v>
      </c>
      <c r="B30" s="82" t="s">
        <v>109</v>
      </c>
      <c r="C30" s="82">
        <f>C19+C22+C29</f>
        <v>0</v>
      </c>
      <c r="D30" s="72"/>
      <c r="E30" s="72"/>
    </row>
    <row r="31" spans="1:5" s="59" customFormat="1" ht="15" customHeight="1" thickBot="1" x14ac:dyDescent="0.3">
      <c r="A31" s="68" t="s">
        <v>106</v>
      </c>
      <c r="B31" s="74" t="s">
        <v>102</v>
      </c>
      <c r="C31" s="74">
        <f>C19+C22</f>
        <v>0</v>
      </c>
      <c r="D31" s="75"/>
      <c r="E31" s="75"/>
    </row>
    <row r="32" spans="1:5" s="59" customFormat="1" ht="33" customHeight="1" thickBot="1" x14ac:dyDescent="0.3">
      <c r="A32" s="73" t="s">
        <v>107</v>
      </c>
      <c r="B32" s="76"/>
      <c r="C32" s="79" t="e">
        <f>C31/C30*100</f>
        <v>#DIV/0!</v>
      </c>
      <c r="D32" s="83" t="s">
        <v>74</v>
      </c>
      <c r="E32" s="75"/>
    </row>
    <row r="33" spans="1:5" s="59" customFormat="1" x14ac:dyDescent="0.25">
      <c r="A33" s="77"/>
      <c r="C33" s="151" t="s">
        <v>167</v>
      </c>
    </row>
    <row r="34" spans="1:5" ht="15.75" thickBot="1" x14ac:dyDescent="0.3"/>
    <row r="35" spans="1:5" ht="15.75" thickBot="1" x14ac:dyDescent="0.3">
      <c r="A35" s="61" t="s">
        <v>66</v>
      </c>
      <c r="B35" s="51"/>
      <c r="C35" s="63"/>
      <c r="D35" s="83" t="s">
        <v>110</v>
      </c>
      <c r="E35" s="60"/>
    </row>
    <row r="36" spans="1:5" ht="15.75" thickBot="1" x14ac:dyDescent="0.3"/>
    <row r="37" spans="1:5" s="51" customFormat="1" ht="15.75" thickBot="1" x14ac:dyDescent="0.3">
      <c r="A37" s="50" t="s">
        <v>112</v>
      </c>
    </row>
    <row r="44" spans="1:5" ht="31.15" customHeight="1" x14ac:dyDescent="0.25"/>
    <row r="47" spans="1:5" ht="27.6" customHeight="1" x14ac:dyDescent="0.25"/>
  </sheetData>
  <mergeCells count="8">
    <mergeCell ref="D14:E14"/>
    <mergeCell ref="C15:C18"/>
    <mergeCell ref="A10:E10"/>
    <mergeCell ref="A11:E11"/>
    <mergeCell ref="A12:A13"/>
    <mergeCell ref="B12:C12"/>
    <mergeCell ref="D12:E13"/>
    <mergeCell ref="B13:C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6"/>
  <sheetViews>
    <sheetView topLeftCell="A11" workbookViewId="0">
      <selection activeCell="G21" sqref="G21"/>
    </sheetView>
  </sheetViews>
  <sheetFormatPr defaultRowHeight="15" x14ac:dyDescent="0.25"/>
  <cols>
    <col min="1" max="4" width="21.7109375" customWidth="1"/>
  </cols>
  <sheetData>
    <row r="1" spans="1:9" s="58" customFormat="1" ht="15.75" thickBot="1" x14ac:dyDescent="0.3">
      <c r="A1" s="57" t="s">
        <v>68</v>
      </c>
    </row>
    <row r="2" spans="1:9" ht="15.75" thickBot="1" x14ac:dyDescent="0.3"/>
    <row r="3" spans="1:9" s="51" customFormat="1" ht="15.75" thickBot="1" x14ac:dyDescent="0.3">
      <c r="A3" s="50" t="s">
        <v>212</v>
      </c>
    </row>
    <row r="7" spans="1:9" s="59" customFormat="1" x14ac:dyDescent="0.25"/>
    <row r="8" spans="1:9" ht="15.75" thickBot="1" x14ac:dyDescent="0.3"/>
    <row r="9" spans="1:9" s="51" customFormat="1" ht="15.75" thickBot="1" x14ac:dyDescent="0.3">
      <c r="A9" s="50" t="s">
        <v>139</v>
      </c>
    </row>
    <row r="10" spans="1:9" s="78" customFormat="1" x14ac:dyDescent="0.25">
      <c r="A10" s="126"/>
    </row>
    <row r="11" spans="1:9" s="78" customFormat="1" x14ac:dyDescent="0.25">
      <c r="A11" s="129" t="s">
        <v>211</v>
      </c>
    </row>
    <row r="12" spans="1:9" s="78" customFormat="1" ht="15.75" thickBot="1" x14ac:dyDescent="0.3">
      <c r="A12" s="129" t="s">
        <v>171</v>
      </c>
    </row>
    <row r="13" spans="1:9" s="78" customFormat="1" ht="36.75" thickBot="1" x14ac:dyDescent="0.3">
      <c r="A13" s="89"/>
      <c r="B13" s="101" t="s">
        <v>123</v>
      </c>
      <c r="C13" s="90" t="s">
        <v>136</v>
      </c>
      <c r="D13" s="90" t="s">
        <v>129</v>
      </c>
    </row>
    <row r="14" spans="1:9" s="78" customFormat="1" ht="15.75" thickBot="1" x14ac:dyDescent="0.3">
      <c r="A14" s="91" t="s">
        <v>113</v>
      </c>
      <c r="B14" s="92" t="s">
        <v>132</v>
      </c>
      <c r="C14" s="92" t="s">
        <v>133</v>
      </c>
      <c r="D14" s="92" t="s">
        <v>7</v>
      </c>
    </row>
    <row r="15" spans="1:9" s="78" customFormat="1" ht="15.75" thickBot="1" x14ac:dyDescent="0.3">
      <c r="A15" s="298" t="s">
        <v>114</v>
      </c>
      <c r="B15" s="299"/>
      <c r="C15" s="93"/>
      <c r="D15" s="93"/>
    </row>
    <row r="16" spans="1:9" s="78" customFormat="1" ht="15.75" thickBot="1" x14ac:dyDescent="0.3">
      <c r="A16" s="96" t="s">
        <v>117</v>
      </c>
      <c r="B16" s="183">
        <v>0</v>
      </c>
      <c r="C16" s="182">
        <v>15000</v>
      </c>
      <c r="D16" s="94">
        <f>C16*0.7854</f>
        <v>11781</v>
      </c>
      <c r="E16" s="129" t="s">
        <v>137</v>
      </c>
      <c r="F16" s="129" t="s">
        <v>213</v>
      </c>
      <c r="G16" s="126"/>
      <c r="H16" s="129" t="s">
        <v>214</v>
      </c>
      <c r="I16" s="126"/>
    </row>
    <row r="17" spans="1:4" s="78" customFormat="1" ht="15.75" thickBot="1" x14ac:dyDescent="0.3">
      <c r="A17" s="96" t="s">
        <v>118</v>
      </c>
      <c r="B17" s="183">
        <v>0</v>
      </c>
      <c r="C17" s="182">
        <v>0</v>
      </c>
      <c r="D17" s="94">
        <f>C17*0.7854</f>
        <v>0</v>
      </c>
    </row>
    <row r="18" spans="1:4" s="78" customFormat="1" ht="15.75" thickBot="1" x14ac:dyDescent="0.3">
      <c r="A18" s="96" t="s">
        <v>119</v>
      </c>
      <c r="B18" s="183">
        <v>0</v>
      </c>
      <c r="C18" s="182">
        <v>0</v>
      </c>
      <c r="D18" s="103">
        <f>C18*0.7854</f>
        <v>0</v>
      </c>
    </row>
    <row r="19" spans="1:4" s="78" customFormat="1" ht="15.75" thickBot="1" x14ac:dyDescent="0.3">
      <c r="A19" s="98"/>
      <c r="B19" s="99"/>
      <c r="C19" s="99"/>
      <c r="D19" s="93"/>
    </row>
    <row r="20" spans="1:4" s="78" customFormat="1" ht="15.75" thickBot="1" x14ac:dyDescent="0.3">
      <c r="A20" s="98"/>
      <c r="B20" s="99"/>
      <c r="C20" s="99"/>
      <c r="D20" s="93"/>
    </row>
    <row r="21" spans="1:4" s="78" customFormat="1" ht="15.75" thickBot="1" x14ac:dyDescent="0.3">
      <c r="A21" s="300" t="s">
        <v>115</v>
      </c>
      <c r="B21" s="301"/>
      <c r="C21" s="99"/>
      <c r="D21" s="93"/>
    </row>
    <row r="22" spans="1:4" s="78" customFormat="1" ht="15.75" thickBot="1" x14ac:dyDescent="0.3">
      <c r="A22" s="96" t="s">
        <v>120</v>
      </c>
      <c r="B22" s="97"/>
      <c r="C22" s="182">
        <v>0</v>
      </c>
      <c r="D22" s="94">
        <f>C22*0.7854</f>
        <v>0</v>
      </c>
    </row>
    <row r="23" spans="1:4" s="78" customFormat="1" ht="15.75" thickBot="1" x14ac:dyDescent="0.3">
      <c r="A23" s="96" t="s">
        <v>121</v>
      </c>
      <c r="B23" s="183">
        <v>0</v>
      </c>
      <c r="C23" s="182">
        <v>0</v>
      </c>
      <c r="D23" s="94">
        <f>C23*0.7854</f>
        <v>0</v>
      </c>
    </row>
    <row r="24" spans="1:4" s="78" customFormat="1" ht="15.75" thickBot="1" x14ac:dyDescent="0.3">
      <c r="A24" s="96" t="s">
        <v>122</v>
      </c>
      <c r="B24" s="183">
        <v>0</v>
      </c>
      <c r="C24" s="182">
        <v>0</v>
      </c>
      <c r="D24" s="94">
        <f>C24*0.7854</f>
        <v>0</v>
      </c>
    </row>
    <row r="25" spans="1:4" s="78" customFormat="1" ht="15.75" thickBot="1" x14ac:dyDescent="0.3">
      <c r="A25" s="98"/>
      <c r="B25" s="183">
        <v>0</v>
      </c>
      <c r="C25" s="99"/>
      <c r="D25" s="93"/>
    </row>
    <row r="26" spans="1:4" s="78" customFormat="1" ht="15.75" thickBot="1" x14ac:dyDescent="0.3">
      <c r="A26" s="98"/>
      <c r="B26" s="99"/>
      <c r="C26" s="99"/>
      <c r="D26" s="93"/>
    </row>
    <row r="27" spans="1:4" s="78" customFormat="1" ht="15.75" thickBot="1" x14ac:dyDescent="0.3">
      <c r="A27" s="300" t="s">
        <v>116</v>
      </c>
      <c r="B27" s="301"/>
      <c r="C27" s="99"/>
      <c r="D27" s="93"/>
    </row>
    <row r="28" spans="1:4" s="78" customFormat="1" ht="15.75" thickBot="1" x14ac:dyDescent="0.3">
      <c r="A28" s="96" t="s">
        <v>124</v>
      </c>
      <c r="B28" s="183">
        <v>0</v>
      </c>
      <c r="C28" s="182">
        <v>0</v>
      </c>
      <c r="D28" s="94">
        <f t="shared" ref="D28:D33" si="0">C28*0.7854</f>
        <v>0</v>
      </c>
    </row>
    <row r="29" spans="1:4" s="78" customFormat="1" ht="15.75" thickBot="1" x14ac:dyDescent="0.3">
      <c r="A29" s="96" t="s">
        <v>125</v>
      </c>
      <c r="B29" s="183">
        <v>0</v>
      </c>
      <c r="C29" s="182">
        <v>0</v>
      </c>
      <c r="D29" s="94">
        <f t="shared" si="0"/>
        <v>0</v>
      </c>
    </row>
    <row r="30" spans="1:4" s="78" customFormat="1" ht="15.75" thickBot="1" x14ac:dyDescent="0.3">
      <c r="A30" s="96" t="s">
        <v>126</v>
      </c>
      <c r="B30" s="183">
        <v>0</v>
      </c>
      <c r="C30" s="182">
        <v>0</v>
      </c>
      <c r="D30" s="94">
        <f t="shared" si="0"/>
        <v>0</v>
      </c>
    </row>
    <row r="31" spans="1:4" s="59" customFormat="1" ht="15.75" thickBot="1" x14ac:dyDescent="0.3">
      <c r="A31" s="96" t="s">
        <v>127</v>
      </c>
      <c r="B31" s="183">
        <v>0</v>
      </c>
      <c r="C31" s="182">
        <v>0</v>
      </c>
      <c r="D31" s="94">
        <f t="shared" si="0"/>
        <v>0</v>
      </c>
    </row>
    <row r="32" spans="1:4" s="59" customFormat="1" ht="15.75" thickBot="1" x14ac:dyDescent="0.3">
      <c r="A32" s="96" t="s">
        <v>128</v>
      </c>
      <c r="B32" s="183">
        <v>0</v>
      </c>
      <c r="C32" s="182">
        <v>0</v>
      </c>
      <c r="D32" s="99">
        <f t="shared" si="0"/>
        <v>0</v>
      </c>
    </row>
    <row r="33" spans="1:8" s="59" customFormat="1" ht="15.75" thickBot="1" x14ac:dyDescent="0.3">
      <c r="A33" s="96" t="s">
        <v>134</v>
      </c>
      <c r="B33" s="183">
        <v>0</v>
      </c>
      <c r="C33" s="182">
        <v>0</v>
      </c>
      <c r="D33" s="99">
        <f t="shared" si="0"/>
        <v>0</v>
      </c>
    </row>
    <row r="34" spans="1:8" s="59" customFormat="1" ht="15.75" thickBot="1" x14ac:dyDescent="0.3">
      <c r="A34" s="98"/>
      <c r="B34" s="99"/>
      <c r="C34" s="99"/>
      <c r="D34" s="93"/>
    </row>
    <row r="35" spans="1:8" s="59" customFormat="1" ht="15.75" thickBot="1" x14ac:dyDescent="0.3">
      <c r="A35" s="100" t="s">
        <v>130</v>
      </c>
      <c r="B35" s="99"/>
      <c r="C35" s="99"/>
      <c r="D35" s="95">
        <f>SUM(D16:D34)</f>
        <v>11781</v>
      </c>
    </row>
    <row r="36" spans="1:8" s="59" customFormat="1" ht="15.75" thickBot="1" x14ac:dyDescent="0.3">
      <c r="A36" s="300" t="s">
        <v>131</v>
      </c>
      <c r="B36" s="301"/>
      <c r="C36" s="99"/>
      <c r="D36" s="184">
        <v>100000</v>
      </c>
      <c r="E36" s="88" t="s">
        <v>138</v>
      </c>
    </row>
    <row r="37" spans="1:8" s="59" customFormat="1" ht="15.75" thickBot="1" x14ac:dyDescent="0.3">
      <c r="A37" s="298" t="s">
        <v>135</v>
      </c>
      <c r="B37" s="302"/>
      <c r="C37" s="299"/>
      <c r="D37" s="102">
        <f>D35/D36%</f>
        <v>11.781000000000001</v>
      </c>
      <c r="E37" s="65" t="s">
        <v>74</v>
      </c>
      <c r="F37" s="66"/>
      <c r="G37" s="67"/>
    </row>
    <row r="38" spans="1:8" s="59" customFormat="1" x14ac:dyDescent="0.25"/>
    <row r="39" spans="1:8" ht="15.75" thickBot="1" x14ac:dyDescent="0.3"/>
    <row r="40" spans="1:8" ht="15.75" thickBot="1" x14ac:dyDescent="0.3">
      <c r="A40" s="61" t="s">
        <v>66</v>
      </c>
      <c r="B40" s="51"/>
      <c r="C40" s="63"/>
      <c r="D40" s="84" t="s">
        <v>110</v>
      </c>
      <c r="E40" s="60"/>
      <c r="F40" s="60"/>
    </row>
    <row r="41" spans="1:8" ht="15.75" thickBot="1" x14ac:dyDescent="0.3"/>
    <row r="42" spans="1:8" s="51" customFormat="1" ht="15.75" thickBot="1" x14ac:dyDescent="0.3">
      <c r="A42" s="50" t="s">
        <v>112</v>
      </c>
    </row>
    <row r="46" spans="1:8" x14ac:dyDescent="0.25">
      <c r="H46" s="87"/>
    </row>
  </sheetData>
  <mergeCells count="5">
    <mergeCell ref="A15:B15"/>
    <mergeCell ref="A21:B21"/>
    <mergeCell ref="A27:B27"/>
    <mergeCell ref="A36:B36"/>
    <mergeCell ref="A37:C3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7"/>
  <sheetViews>
    <sheetView workbookViewId="0">
      <selection activeCell="M12" sqref="M12"/>
    </sheetView>
  </sheetViews>
  <sheetFormatPr defaultRowHeight="15" x14ac:dyDescent="0.25"/>
  <cols>
    <col min="1" max="1" width="27.7109375" customWidth="1"/>
    <col min="2" max="11" width="7.28515625" customWidth="1"/>
    <col min="12" max="12" width="7.7109375" customWidth="1"/>
  </cols>
  <sheetData>
    <row r="1" spans="1:12" s="58" customFormat="1" ht="15.75" thickBot="1" x14ac:dyDescent="0.3">
      <c r="A1" s="57" t="s">
        <v>69</v>
      </c>
    </row>
    <row r="2" spans="1:12" ht="15.75" thickBot="1" x14ac:dyDescent="0.3"/>
    <row r="3" spans="1:12" s="51" customFormat="1" ht="15.75" thickBot="1" x14ac:dyDescent="0.3">
      <c r="A3" s="50" t="s">
        <v>111</v>
      </c>
    </row>
    <row r="7" spans="1:12" s="59" customFormat="1" x14ac:dyDescent="0.25"/>
    <row r="8" spans="1:12" ht="15.75" thickBot="1" x14ac:dyDescent="0.3"/>
    <row r="9" spans="1:12" s="51" customFormat="1" ht="15.75" thickBot="1" x14ac:dyDescent="0.3">
      <c r="A9" s="50" t="s">
        <v>71</v>
      </c>
    </row>
    <row r="10" spans="1:12" s="78" customFormat="1" ht="15.75" thickBot="1" x14ac:dyDescent="0.3">
      <c r="A10" s="126"/>
    </row>
    <row r="11" spans="1:12" s="78" customFormat="1" ht="30.75" thickBot="1" x14ac:dyDescent="0.3">
      <c r="A11" s="104"/>
      <c r="B11" s="303" t="s">
        <v>144</v>
      </c>
      <c r="C11" s="304"/>
      <c r="D11" s="305"/>
      <c r="E11" s="105" t="s">
        <v>152</v>
      </c>
      <c r="F11" s="303" t="s">
        <v>145</v>
      </c>
      <c r="G11" s="304"/>
      <c r="H11" s="304"/>
      <c r="I11" s="122"/>
      <c r="J11" s="2"/>
      <c r="K11" s="3"/>
    </row>
    <row r="12" spans="1:12" s="78" customFormat="1" ht="15.75" thickBot="1" x14ac:dyDescent="0.3">
      <c r="A12" s="106"/>
      <c r="B12" s="107" t="s">
        <v>146</v>
      </c>
      <c r="C12" s="107"/>
      <c r="D12" s="108" t="s">
        <v>147</v>
      </c>
      <c r="E12" s="118" t="s">
        <v>153</v>
      </c>
      <c r="F12" s="108" t="s">
        <v>147</v>
      </c>
      <c r="G12" s="108"/>
      <c r="H12" s="121" t="s">
        <v>146</v>
      </c>
      <c r="I12" s="124"/>
      <c r="J12" s="4"/>
      <c r="K12" s="116"/>
    </row>
    <row r="13" spans="1:12" s="78" customFormat="1" ht="15.75" thickBot="1" x14ac:dyDescent="0.3">
      <c r="A13" s="109" t="s">
        <v>148</v>
      </c>
      <c r="B13" s="110">
        <v>1</v>
      </c>
      <c r="C13" s="111">
        <v>2</v>
      </c>
      <c r="D13" s="112">
        <v>3</v>
      </c>
      <c r="E13" s="113">
        <v>4</v>
      </c>
      <c r="F13" s="114">
        <v>5</v>
      </c>
      <c r="G13" s="115">
        <v>6</v>
      </c>
      <c r="H13" s="117">
        <v>7</v>
      </c>
      <c r="I13" s="123" t="s">
        <v>155</v>
      </c>
      <c r="J13" s="1" t="s">
        <v>154</v>
      </c>
      <c r="K13" s="125" t="s">
        <v>157</v>
      </c>
    </row>
    <row r="14" spans="1:12" s="78" customFormat="1" ht="15" customHeight="1" thickBot="1" x14ac:dyDescent="0.3">
      <c r="A14" s="106" t="s">
        <v>149</v>
      </c>
      <c r="B14" s="128">
        <v>0.1</v>
      </c>
      <c r="C14" s="128">
        <v>0.1</v>
      </c>
      <c r="D14" s="128">
        <v>0.1</v>
      </c>
      <c r="E14" s="128">
        <v>0.1</v>
      </c>
      <c r="F14" s="128">
        <v>0.1</v>
      </c>
      <c r="G14" s="128">
        <v>0.1</v>
      </c>
      <c r="H14" s="128">
        <v>0.1</v>
      </c>
      <c r="I14" s="130">
        <f>SUM(B14:H14)</f>
        <v>0.7</v>
      </c>
      <c r="J14" s="131">
        <f>((B$13*B14/$I14)+(C$13*C14/$I14)+(D$13*D14/$I14)+(E$13*E14/$I14)+(F$13*F14/$I14)+(G$13*G14/$I14)+(H$13*H14/$I14))</f>
        <v>4.0000000000000009</v>
      </c>
      <c r="K14" s="132">
        <f>(SUM(F14:H14)/I14)*100</f>
        <v>42.857142857142868</v>
      </c>
      <c r="L14" s="150" t="s">
        <v>201</v>
      </c>
    </row>
    <row r="15" spans="1:12" s="78" customFormat="1" ht="15" customHeight="1" thickBot="1" x14ac:dyDescent="0.3">
      <c r="A15" s="106" t="s">
        <v>140</v>
      </c>
      <c r="B15" s="128">
        <v>0.1</v>
      </c>
      <c r="C15" s="128">
        <v>0.1</v>
      </c>
      <c r="D15" s="128">
        <v>0.1</v>
      </c>
      <c r="E15" s="128">
        <v>0.1</v>
      </c>
      <c r="F15" s="128">
        <v>0.1</v>
      </c>
      <c r="G15" s="128">
        <v>0.1</v>
      </c>
      <c r="H15" s="128">
        <v>0.1</v>
      </c>
      <c r="I15" s="130">
        <f t="shared" ref="I15:I21" si="0">SUM(B15:H15)</f>
        <v>0.7</v>
      </c>
      <c r="J15" s="131">
        <f t="shared" ref="J15:J21" si="1">((B$13*B15/$I15)+(C$13*C15/$I15)+(D$13*D15/$I15)+(E$13*E15/$I15)+(F$13*F15/$I15)+(G$13*G15/$I15)+(H$13*H15/$I15))</f>
        <v>4.0000000000000009</v>
      </c>
      <c r="K15" s="132">
        <f t="shared" ref="K15:K21" si="2">(SUM(F15:H15)/I15)*100</f>
        <v>42.857142857142868</v>
      </c>
      <c r="L15" s="25" t="s">
        <v>215</v>
      </c>
    </row>
    <row r="16" spans="1:12" s="78" customFormat="1" ht="15" customHeight="1" thickBot="1" x14ac:dyDescent="0.3">
      <c r="A16" s="106" t="s">
        <v>141</v>
      </c>
      <c r="B16" s="128">
        <v>0.1</v>
      </c>
      <c r="C16" s="128">
        <v>0.1</v>
      </c>
      <c r="D16" s="128">
        <v>0.1</v>
      </c>
      <c r="E16" s="128">
        <v>0.1</v>
      </c>
      <c r="F16" s="128">
        <v>0.1</v>
      </c>
      <c r="G16" s="128">
        <v>0.1</v>
      </c>
      <c r="H16" s="128">
        <v>0.1</v>
      </c>
      <c r="I16" s="130">
        <f t="shared" si="0"/>
        <v>0.7</v>
      </c>
      <c r="J16" s="131">
        <f t="shared" si="1"/>
        <v>4.0000000000000009</v>
      </c>
      <c r="K16" s="132">
        <f t="shared" si="2"/>
        <v>42.857142857142868</v>
      </c>
    </row>
    <row r="17" spans="1:15" s="78" customFormat="1" ht="15" customHeight="1" thickBot="1" x14ac:dyDescent="0.3">
      <c r="A17" s="106" t="s">
        <v>150</v>
      </c>
      <c r="B17" s="128">
        <v>0.1</v>
      </c>
      <c r="C17" s="128">
        <v>0.1</v>
      </c>
      <c r="D17" s="128">
        <v>0.1</v>
      </c>
      <c r="E17" s="128">
        <v>0.1</v>
      </c>
      <c r="F17" s="128">
        <v>0.1</v>
      </c>
      <c r="G17" s="128">
        <v>0.1</v>
      </c>
      <c r="H17" s="128">
        <v>0.1</v>
      </c>
      <c r="I17" s="130">
        <f t="shared" si="0"/>
        <v>0.7</v>
      </c>
      <c r="J17" s="131">
        <f t="shared" si="1"/>
        <v>4.0000000000000009</v>
      </c>
      <c r="K17" s="132">
        <f t="shared" si="2"/>
        <v>42.857142857142868</v>
      </c>
    </row>
    <row r="18" spans="1:15" s="78" customFormat="1" ht="15" customHeight="1" thickBot="1" x14ac:dyDescent="0.3">
      <c r="A18" s="106" t="s">
        <v>156</v>
      </c>
      <c r="B18" s="128">
        <v>0.1</v>
      </c>
      <c r="C18" s="128">
        <v>0.1</v>
      </c>
      <c r="D18" s="128">
        <v>0.1</v>
      </c>
      <c r="E18" s="128">
        <v>0.1</v>
      </c>
      <c r="F18" s="128">
        <v>0.1</v>
      </c>
      <c r="G18" s="128">
        <v>0.1</v>
      </c>
      <c r="H18" s="128">
        <v>0.1</v>
      </c>
      <c r="I18" s="130">
        <f t="shared" si="0"/>
        <v>0.7</v>
      </c>
      <c r="J18" s="131">
        <f t="shared" si="1"/>
        <v>4.0000000000000009</v>
      </c>
      <c r="K18" s="132">
        <f t="shared" si="2"/>
        <v>42.857142857142868</v>
      </c>
    </row>
    <row r="19" spans="1:15" s="78" customFormat="1" ht="15" customHeight="1" thickBot="1" x14ac:dyDescent="0.3">
      <c r="A19" s="106" t="s">
        <v>151</v>
      </c>
      <c r="B19" s="128">
        <v>0.1</v>
      </c>
      <c r="C19" s="128">
        <v>0.1</v>
      </c>
      <c r="D19" s="128">
        <v>0.1</v>
      </c>
      <c r="E19" s="128">
        <v>0.1</v>
      </c>
      <c r="F19" s="128">
        <v>0.1</v>
      </c>
      <c r="G19" s="128">
        <v>0.1</v>
      </c>
      <c r="H19" s="128">
        <v>0.1</v>
      </c>
      <c r="I19" s="130">
        <f t="shared" si="0"/>
        <v>0.7</v>
      </c>
      <c r="J19" s="131">
        <f t="shared" si="1"/>
        <v>4.0000000000000009</v>
      </c>
      <c r="K19" s="132">
        <f t="shared" si="2"/>
        <v>42.857142857142868</v>
      </c>
    </row>
    <row r="20" spans="1:15" s="59" customFormat="1" ht="15" customHeight="1" thickBot="1" x14ac:dyDescent="0.3">
      <c r="A20" s="106" t="s">
        <v>142</v>
      </c>
      <c r="B20" s="128">
        <v>0.1</v>
      </c>
      <c r="C20" s="128">
        <v>0.1</v>
      </c>
      <c r="D20" s="128">
        <v>0.1</v>
      </c>
      <c r="E20" s="128">
        <v>0.1</v>
      </c>
      <c r="F20" s="128">
        <v>0.1</v>
      </c>
      <c r="G20" s="128">
        <v>0.1</v>
      </c>
      <c r="H20" s="128">
        <v>0.1</v>
      </c>
      <c r="I20" s="130">
        <f t="shared" si="0"/>
        <v>0.7</v>
      </c>
      <c r="J20" s="131">
        <f t="shared" si="1"/>
        <v>4.0000000000000009</v>
      </c>
      <c r="K20" s="132">
        <f t="shared" si="2"/>
        <v>42.857142857142868</v>
      </c>
    </row>
    <row r="21" spans="1:15" s="59" customFormat="1" ht="15" customHeight="1" thickBot="1" x14ac:dyDescent="0.3">
      <c r="A21" s="119" t="s">
        <v>143</v>
      </c>
      <c r="B21" s="128">
        <v>0.1</v>
      </c>
      <c r="C21" s="128">
        <v>0.1</v>
      </c>
      <c r="D21" s="128">
        <v>0.1</v>
      </c>
      <c r="E21" s="128">
        <v>0.1</v>
      </c>
      <c r="F21" s="128">
        <v>0.1</v>
      </c>
      <c r="G21" s="128">
        <v>0.1</v>
      </c>
      <c r="H21" s="128">
        <v>0.1</v>
      </c>
      <c r="I21" s="130">
        <f t="shared" si="0"/>
        <v>0.7</v>
      </c>
      <c r="J21" s="131">
        <f t="shared" si="1"/>
        <v>4.0000000000000009</v>
      </c>
      <c r="K21" s="132">
        <f t="shared" si="2"/>
        <v>42.857142857142868</v>
      </c>
    </row>
    <row r="22" spans="1:15" s="59" customFormat="1" ht="15" customHeight="1" thickBot="1" x14ac:dyDescent="0.3">
      <c r="A22" s="120" t="s">
        <v>158</v>
      </c>
      <c r="B22" s="127">
        <f>SUM(B14:B21)</f>
        <v>0.79999999999999993</v>
      </c>
      <c r="C22" s="127">
        <f t="shared" ref="C22" si="3">SUM(C14:C21)</f>
        <v>0.79999999999999993</v>
      </c>
      <c r="D22" s="127">
        <f t="shared" ref="D22" si="4">SUM(D14:D21)</f>
        <v>0.79999999999999993</v>
      </c>
      <c r="E22" s="127">
        <f t="shared" ref="E22" si="5">SUM(E14:E21)</f>
        <v>0.79999999999999993</v>
      </c>
      <c r="F22" s="127">
        <f t="shared" ref="F22" si="6">SUM(F14:F21)</f>
        <v>0.79999999999999993</v>
      </c>
      <c r="G22" s="127">
        <f t="shared" ref="G22" si="7">SUM(G14:G21)</f>
        <v>0.79999999999999993</v>
      </c>
      <c r="H22" s="127">
        <f t="shared" ref="H22" si="8">SUM(H14:H21)</f>
        <v>0.79999999999999993</v>
      </c>
      <c r="I22" s="133">
        <f>SUM(B22:H22)</f>
        <v>5.6</v>
      </c>
      <c r="J22" s="134">
        <f>I22/8</f>
        <v>0.7</v>
      </c>
      <c r="K22" s="135">
        <f>SUM(K14:K21)/8</f>
        <v>42.857142857142875</v>
      </c>
      <c r="L22" s="65" t="s">
        <v>74</v>
      </c>
      <c r="M22" s="66"/>
      <c r="N22" s="66"/>
      <c r="O22" s="67"/>
    </row>
    <row r="23" spans="1:15" s="59" customFormat="1" x14ac:dyDescent="0.25">
      <c r="B23" s="129" t="s">
        <v>170</v>
      </c>
    </row>
    <row r="24" spans="1:15" ht="15.75" thickBot="1" x14ac:dyDescent="0.3"/>
    <row r="25" spans="1:15" ht="15.75" thickBot="1" x14ac:dyDescent="0.3">
      <c r="A25" s="61" t="s">
        <v>66</v>
      </c>
      <c r="B25" s="51"/>
      <c r="C25" s="63"/>
      <c r="D25" s="84" t="s">
        <v>110</v>
      </c>
      <c r="E25" s="60"/>
      <c r="F25" s="60"/>
      <c r="G25" s="60"/>
    </row>
    <row r="26" spans="1:15" ht="15.75" thickBot="1" x14ac:dyDescent="0.3"/>
    <row r="27" spans="1:15" s="51" customFormat="1" ht="15.75" thickBot="1" x14ac:dyDescent="0.3">
      <c r="A27" s="50" t="s">
        <v>112</v>
      </c>
    </row>
  </sheetData>
  <mergeCells count="2">
    <mergeCell ref="B11:D11"/>
    <mergeCell ref="F11:H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5"/>
  <sheetViews>
    <sheetView workbookViewId="0">
      <selection activeCell="C14" sqref="C14"/>
    </sheetView>
  </sheetViews>
  <sheetFormatPr defaultRowHeight="15" x14ac:dyDescent="0.25"/>
  <cols>
    <col min="1" max="1" width="23.7109375" customWidth="1"/>
    <col min="2" max="2" width="30.28515625" customWidth="1"/>
    <col min="3" max="3" width="8.85546875" customWidth="1"/>
  </cols>
  <sheetData>
    <row r="1" spans="1:3" s="58" customFormat="1" ht="15.75" thickBot="1" x14ac:dyDescent="0.3">
      <c r="A1" s="57" t="s">
        <v>70</v>
      </c>
    </row>
    <row r="2" spans="1:3" ht="15.75" thickBot="1" x14ac:dyDescent="0.3"/>
    <row r="3" spans="1:3" s="51" customFormat="1" ht="15.75" thickBot="1" x14ac:dyDescent="0.3">
      <c r="A3" s="50" t="s">
        <v>111</v>
      </c>
    </row>
    <row r="7" spans="1:3" s="59" customFormat="1" x14ac:dyDescent="0.25"/>
    <row r="8" spans="1:3" ht="15.75" thickBot="1" x14ac:dyDescent="0.3"/>
    <row r="9" spans="1:3" s="51" customFormat="1" ht="15.75" thickBot="1" x14ac:dyDescent="0.3">
      <c r="A9" s="50" t="s">
        <v>71</v>
      </c>
    </row>
    <row r="10" spans="1:3" s="78" customFormat="1" x14ac:dyDescent="0.25">
      <c r="A10" s="126"/>
    </row>
    <row r="11" spans="1:3" s="59" customFormat="1" ht="15.75" thickBot="1" x14ac:dyDescent="0.3">
      <c r="A11" s="137" t="s">
        <v>199</v>
      </c>
    </row>
    <row r="12" spans="1:3" s="59" customFormat="1" ht="15.75" thickBot="1" x14ac:dyDescent="0.3">
      <c r="A12" s="144" t="s">
        <v>165</v>
      </c>
      <c r="B12" s="145" t="s">
        <v>7</v>
      </c>
    </row>
    <row r="13" spans="1:3" s="59" customFormat="1" x14ac:dyDescent="0.25">
      <c r="A13" s="141" t="s">
        <v>159</v>
      </c>
      <c r="B13" s="147">
        <v>84</v>
      </c>
      <c r="C13" s="150" t="s">
        <v>201</v>
      </c>
    </row>
    <row r="14" spans="1:3" s="59" customFormat="1" x14ac:dyDescent="0.25">
      <c r="A14" s="141" t="s">
        <v>160</v>
      </c>
      <c r="B14" s="147">
        <v>8</v>
      </c>
      <c r="C14" s="25" t="s">
        <v>215</v>
      </c>
    </row>
    <row r="15" spans="1:3" s="59" customFormat="1" x14ac:dyDescent="0.25">
      <c r="A15" s="141" t="s">
        <v>161</v>
      </c>
      <c r="B15" s="147">
        <v>1</v>
      </c>
    </row>
    <row r="16" spans="1:3" s="59" customFormat="1" x14ac:dyDescent="0.25">
      <c r="A16" s="141" t="s">
        <v>162</v>
      </c>
      <c r="B16" s="147">
        <v>3</v>
      </c>
    </row>
    <row r="17" spans="1:7" s="59" customFormat="1" ht="15.75" thickBot="1" x14ac:dyDescent="0.3">
      <c r="A17" s="141" t="s">
        <v>163</v>
      </c>
      <c r="B17" s="147">
        <v>0</v>
      </c>
    </row>
    <row r="18" spans="1:7" s="59" customFormat="1" x14ac:dyDescent="0.25">
      <c r="A18" s="140" t="s">
        <v>164</v>
      </c>
      <c r="B18" s="146">
        <f>SUM(B13:B17)</f>
        <v>96</v>
      </c>
    </row>
    <row r="19" spans="1:7" s="59" customFormat="1" ht="15.75" thickBot="1" x14ac:dyDescent="0.3">
      <c r="A19" s="142" t="s">
        <v>129</v>
      </c>
      <c r="B19" s="148">
        <v>798600</v>
      </c>
    </row>
    <row r="20" spans="1:7" s="59" customFormat="1" ht="15.75" thickBot="1" x14ac:dyDescent="0.3">
      <c r="A20" s="143" t="s">
        <v>166</v>
      </c>
      <c r="B20" s="149">
        <f>(B18/B19)*100000</f>
        <v>12.021036814425244</v>
      </c>
      <c r="C20" s="139" t="s">
        <v>74</v>
      </c>
      <c r="D20" s="66"/>
      <c r="E20" s="66"/>
      <c r="F20" s="67"/>
    </row>
    <row r="21" spans="1:7" s="59" customFormat="1" x14ac:dyDescent="0.25">
      <c r="C21" s="138"/>
    </row>
    <row r="22" spans="1:7" ht="15.75" thickBot="1" x14ac:dyDescent="0.3"/>
    <row r="23" spans="1:7" ht="15.75" thickBot="1" x14ac:dyDescent="0.3">
      <c r="A23" s="61" t="s">
        <v>66</v>
      </c>
      <c r="B23" s="51"/>
      <c r="C23" s="63"/>
      <c r="D23" s="84" t="s">
        <v>110</v>
      </c>
      <c r="E23" s="60"/>
      <c r="F23" s="60"/>
      <c r="G23" s="60"/>
    </row>
    <row r="24" spans="1:7" ht="15.75" thickBot="1" x14ac:dyDescent="0.3"/>
    <row r="25" spans="1:7" s="51" customFormat="1" ht="15.75" thickBot="1" x14ac:dyDescent="0.3">
      <c r="A25" s="50" t="s">
        <v>112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topLeftCell="A6" zoomScaleNormal="100" workbookViewId="0">
      <selection activeCell="J21" sqref="J21"/>
    </sheetView>
  </sheetViews>
  <sheetFormatPr defaultRowHeight="15" x14ac:dyDescent="0.25"/>
  <cols>
    <col min="1" max="6" width="14.7109375" customWidth="1"/>
    <col min="13" max="13" width="8.85546875" customWidth="1"/>
  </cols>
  <sheetData>
    <row r="1" spans="1:6" s="58" customFormat="1" ht="15.75" thickBot="1" x14ac:dyDescent="0.3">
      <c r="A1" s="57" t="s">
        <v>72</v>
      </c>
    </row>
    <row r="2" spans="1:6" ht="15.75" thickBot="1" x14ac:dyDescent="0.3"/>
    <row r="3" spans="1:6" s="51" customFormat="1" ht="15.75" thickBot="1" x14ac:dyDescent="0.3">
      <c r="A3" s="50" t="s">
        <v>111</v>
      </c>
    </row>
    <row r="7" spans="1:6" s="59" customFormat="1" x14ac:dyDescent="0.25"/>
    <row r="8" spans="1:6" ht="15.75" thickBot="1" x14ac:dyDescent="0.3"/>
    <row r="9" spans="1:6" s="51" customFormat="1" ht="15.75" thickBot="1" x14ac:dyDescent="0.3">
      <c r="A9" s="50" t="s">
        <v>71</v>
      </c>
    </row>
    <row r="10" spans="1:6" s="78" customFormat="1" x14ac:dyDescent="0.25">
      <c r="A10" s="126"/>
    </row>
    <row r="11" spans="1:6" s="59" customFormat="1" x14ac:dyDescent="0.25">
      <c r="A11" s="137" t="s">
        <v>203</v>
      </c>
    </row>
    <row r="12" spans="1:6" s="59" customFormat="1" ht="15.75" thickBot="1" x14ac:dyDescent="0.3">
      <c r="A12" s="5" t="s">
        <v>187</v>
      </c>
      <c r="B12"/>
      <c r="C12"/>
      <c r="D12"/>
      <c r="E12"/>
      <c r="F12"/>
    </row>
    <row r="13" spans="1:6" s="137" customFormat="1" ht="45.75" thickBot="1" x14ac:dyDescent="0.3">
      <c r="A13" s="153" t="s">
        <v>172</v>
      </c>
      <c r="B13" s="154" t="s">
        <v>185</v>
      </c>
      <c r="C13" s="154" t="s">
        <v>182</v>
      </c>
      <c r="D13" s="154" t="s">
        <v>197</v>
      </c>
      <c r="E13" s="155" t="s">
        <v>181</v>
      </c>
      <c r="F13" s="156"/>
    </row>
    <row r="14" spans="1:6" s="59" customFormat="1" x14ac:dyDescent="0.25">
      <c r="A14" s="123" t="s">
        <v>173</v>
      </c>
      <c r="B14" s="174">
        <v>19</v>
      </c>
      <c r="C14" s="174">
        <v>10</v>
      </c>
      <c r="D14" s="1">
        <f>C14*60</f>
        <v>600</v>
      </c>
      <c r="E14" s="152">
        <f>D14%*B14</f>
        <v>114</v>
      </c>
      <c r="F14" s="25" t="s">
        <v>216</v>
      </c>
    </row>
    <row r="15" spans="1:6" s="59" customFormat="1" x14ac:dyDescent="0.25">
      <c r="A15" s="123" t="s">
        <v>174</v>
      </c>
      <c r="B15" s="174">
        <v>20</v>
      </c>
      <c r="C15" s="174">
        <v>8.5</v>
      </c>
      <c r="D15" s="1">
        <f t="shared" ref="D15:D23" si="0">C15*60</f>
        <v>510</v>
      </c>
      <c r="E15" s="152">
        <f t="shared" ref="E15:E22" si="1">D15%*B15</f>
        <v>102</v>
      </c>
      <c r="F15" s="25" t="s">
        <v>215</v>
      </c>
    </row>
    <row r="16" spans="1:6" s="59" customFormat="1" x14ac:dyDescent="0.25">
      <c r="A16" s="123" t="s">
        <v>175</v>
      </c>
      <c r="B16" s="174">
        <v>35</v>
      </c>
      <c r="C16" s="174">
        <v>4.5</v>
      </c>
      <c r="D16" s="1">
        <f t="shared" si="0"/>
        <v>270</v>
      </c>
      <c r="E16" s="152">
        <f t="shared" si="1"/>
        <v>94.5</v>
      </c>
      <c r="F16"/>
    </row>
    <row r="17" spans="1:10" s="59" customFormat="1" x14ac:dyDescent="0.25">
      <c r="A17" s="123" t="s">
        <v>176</v>
      </c>
      <c r="B17" s="174">
        <v>10</v>
      </c>
      <c r="C17" s="174">
        <v>6</v>
      </c>
      <c r="D17" s="1">
        <f t="shared" si="0"/>
        <v>360</v>
      </c>
      <c r="E17" s="152">
        <f t="shared" si="1"/>
        <v>36</v>
      </c>
      <c r="F17"/>
    </row>
    <row r="18" spans="1:10" s="59" customFormat="1" x14ac:dyDescent="0.25">
      <c r="A18" s="123" t="s">
        <v>177</v>
      </c>
      <c r="B18" s="174">
        <v>7</v>
      </c>
      <c r="C18" s="174">
        <v>12</v>
      </c>
      <c r="D18" s="1">
        <f t="shared" si="0"/>
        <v>720</v>
      </c>
      <c r="E18" s="152">
        <f t="shared" si="1"/>
        <v>50.4</v>
      </c>
      <c r="F18"/>
    </row>
    <row r="19" spans="1:10" s="59" customFormat="1" x14ac:dyDescent="0.25">
      <c r="A19" s="123" t="s">
        <v>178</v>
      </c>
      <c r="B19" s="174">
        <v>5</v>
      </c>
      <c r="C19" s="174">
        <v>14</v>
      </c>
      <c r="D19" s="1">
        <f t="shared" si="0"/>
        <v>840</v>
      </c>
      <c r="E19" s="152">
        <f t="shared" si="1"/>
        <v>42</v>
      </c>
      <c r="F19"/>
    </row>
    <row r="20" spans="1:10" s="59" customFormat="1" x14ac:dyDescent="0.25">
      <c r="A20" s="123" t="s">
        <v>179</v>
      </c>
      <c r="B20" s="174">
        <v>4</v>
      </c>
      <c r="C20" s="178">
        <v>10</v>
      </c>
      <c r="D20" s="1">
        <f t="shared" si="0"/>
        <v>600</v>
      </c>
      <c r="E20" s="152">
        <f t="shared" si="1"/>
        <v>24</v>
      </c>
      <c r="F20"/>
    </row>
    <row r="21" spans="1:10" s="59" customFormat="1" x14ac:dyDescent="0.25">
      <c r="A21" s="158" t="s">
        <v>180</v>
      </c>
      <c r="B21" s="159"/>
      <c r="C21" s="159"/>
      <c r="D21" s="159">
        <f t="shared" si="0"/>
        <v>0</v>
      </c>
      <c r="E21" s="160">
        <f t="shared" si="1"/>
        <v>0</v>
      </c>
      <c r="F21"/>
    </row>
    <row r="22" spans="1:10" s="59" customFormat="1" ht="15.75" thickBot="1" x14ac:dyDescent="0.3">
      <c r="A22" s="158" t="s">
        <v>186</v>
      </c>
      <c r="B22" s="159"/>
      <c r="C22" s="159"/>
      <c r="D22" s="159">
        <f t="shared" si="0"/>
        <v>0</v>
      </c>
      <c r="E22" s="160">
        <f t="shared" si="1"/>
        <v>0</v>
      </c>
      <c r="F22"/>
    </row>
    <row r="23" spans="1:10" s="59" customFormat="1" ht="15.75" thickBot="1" x14ac:dyDescent="0.3">
      <c r="A23" s="120" t="s">
        <v>164</v>
      </c>
      <c r="B23" s="49">
        <f>SUM(B14:B22)</f>
        <v>100</v>
      </c>
      <c r="C23" s="49"/>
      <c r="D23" s="49">
        <f t="shared" si="0"/>
        <v>0</v>
      </c>
      <c r="E23" s="163">
        <f>SUM(E14:E22)</f>
        <v>462.9</v>
      </c>
      <c r="F23" t="s">
        <v>183</v>
      </c>
    </row>
    <row r="24" spans="1:10" s="59" customFormat="1" x14ac:dyDescent="0.25">
      <c r="B24" s="157" t="s">
        <v>184</v>
      </c>
    </row>
    <row r="25" spans="1:10" s="59" customFormat="1" x14ac:dyDescent="0.25">
      <c r="B25" s="157"/>
    </row>
    <row r="26" spans="1:10" s="59" customFormat="1" x14ac:dyDescent="0.25">
      <c r="A26" s="126" t="s">
        <v>202</v>
      </c>
      <c r="B26" s="157"/>
    </row>
    <row r="27" spans="1:10" s="59" customFormat="1" ht="15.75" thickBot="1" x14ac:dyDescent="0.3">
      <c r="A27" s="5" t="s">
        <v>198</v>
      </c>
      <c r="B27" s="5"/>
      <c r="C27"/>
      <c r="D27"/>
      <c r="E27"/>
      <c r="F27"/>
      <c r="G27"/>
      <c r="H27"/>
      <c r="I27"/>
      <c r="J27"/>
    </row>
    <row r="28" spans="1:10" s="59" customFormat="1" ht="30.75" thickBot="1" x14ac:dyDescent="0.3">
      <c r="A28" s="153" t="s">
        <v>172</v>
      </c>
      <c r="B28" s="167" t="s">
        <v>190</v>
      </c>
      <c r="C28" s="154" t="s">
        <v>205</v>
      </c>
      <c r="D28" s="154" t="s">
        <v>191</v>
      </c>
      <c r="E28" s="154" t="s">
        <v>196</v>
      </c>
      <c r="F28" s="168" t="s">
        <v>181</v>
      </c>
      <c r="G28" s="156"/>
      <c r="H28"/>
      <c r="I28"/>
      <c r="J28"/>
    </row>
    <row r="29" spans="1:10" s="59" customFormat="1" x14ac:dyDescent="0.25">
      <c r="A29" s="123" t="s">
        <v>188</v>
      </c>
      <c r="B29" s="18">
        <v>700000</v>
      </c>
      <c r="C29" s="177">
        <f>B29/($B$34)%</f>
        <v>58.333333333333336</v>
      </c>
      <c r="D29" s="174">
        <v>15</v>
      </c>
      <c r="E29" s="176">
        <f>D29*60</f>
        <v>900</v>
      </c>
      <c r="F29" s="161">
        <f>E29%*C29</f>
        <v>525</v>
      </c>
      <c r="G29" s="25" t="s">
        <v>216</v>
      </c>
      <c r="H29"/>
      <c r="I29"/>
      <c r="J29"/>
    </row>
    <row r="30" spans="1:10" s="59" customFormat="1" x14ac:dyDescent="0.25">
      <c r="A30" s="123" t="s">
        <v>189</v>
      </c>
      <c r="B30" s="18">
        <v>500000</v>
      </c>
      <c r="C30" s="177">
        <f t="shared" ref="C30:C33" si="2">B30/($B$34)%</f>
        <v>41.666666666666664</v>
      </c>
      <c r="D30" s="174">
        <v>13</v>
      </c>
      <c r="E30" s="176">
        <f t="shared" ref="E30:E34" si="3">D30*60</f>
        <v>780</v>
      </c>
      <c r="F30" s="161">
        <f t="shared" ref="F30:F33" si="4">E30%*C30</f>
        <v>325</v>
      </c>
      <c r="G30" s="25" t="s">
        <v>215</v>
      </c>
      <c r="H30"/>
      <c r="I30"/>
      <c r="J30"/>
    </row>
    <row r="31" spans="1:10" s="59" customFormat="1" x14ac:dyDescent="0.25">
      <c r="A31" s="158" t="s">
        <v>193</v>
      </c>
      <c r="B31" s="175"/>
      <c r="C31" s="177">
        <f t="shared" si="2"/>
        <v>0</v>
      </c>
      <c r="D31" s="175"/>
      <c r="E31" s="159">
        <f t="shared" si="3"/>
        <v>0</v>
      </c>
      <c r="F31" s="162">
        <f t="shared" si="4"/>
        <v>0</v>
      </c>
      <c r="G31"/>
      <c r="H31"/>
      <c r="I31"/>
      <c r="J31"/>
    </row>
    <row r="32" spans="1:10" s="59" customFormat="1" x14ac:dyDescent="0.25">
      <c r="A32" s="158" t="s">
        <v>194</v>
      </c>
      <c r="B32" s="175"/>
      <c r="C32" s="177">
        <f t="shared" si="2"/>
        <v>0</v>
      </c>
      <c r="D32" s="175"/>
      <c r="E32" s="159">
        <f t="shared" si="3"/>
        <v>0</v>
      </c>
      <c r="F32" s="162">
        <f t="shared" si="4"/>
        <v>0</v>
      </c>
      <c r="G32"/>
      <c r="H32"/>
      <c r="I32"/>
      <c r="J32"/>
    </row>
    <row r="33" spans="1:10" s="59" customFormat="1" ht="15.75" thickBot="1" x14ac:dyDescent="0.3">
      <c r="A33" s="158" t="s">
        <v>195</v>
      </c>
      <c r="B33" s="175"/>
      <c r="C33" s="177">
        <f t="shared" si="2"/>
        <v>0</v>
      </c>
      <c r="D33" s="175"/>
      <c r="E33" s="159">
        <f t="shared" si="3"/>
        <v>0</v>
      </c>
      <c r="F33" s="162">
        <f t="shared" si="4"/>
        <v>0</v>
      </c>
      <c r="G33"/>
      <c r="H33"/>
      <c r="I33"/>
      <c r="J33"/>
    </row>
    <row r="34" spans="1:10" s="59" customFormat="1" ht="15.75" thickBot="1" x14ac:dyDescent="0.3">
      <c r="A34" s="120" t="s">
        <v>164</v>
      </c>
      <c r="B34" s="49">
        <f>SUM(B29:B33)</f>
        <v>1200000</v>
      </c>
      <c r="C34" s="49">
        <f>SUM(C29:C33)</f>
        <v>100</v>
      </c>
      <c r="D34" s="49"/>
      <c r="E34" s="49">
        <f t="shared" si="3"/>
        <v>0</v>
      </c>
      <c r="F34" s="169">
        <f>SUM(F29:F33)</f>
        <v>850</v>
      </c>
      <c r="G34"/>
      <c r="H34"/>
      <c r="I34"/>
      <c r="J34"/>
    </row>
    <row r="35" spans="1:10" s="59" customFormat="1" ht="15.75" thickBot="1" x14ac:dyDescent="0.3">
      <c r="C35" s="157"/>
      <c r="F35" s="170"/>
      <c r="H35"/>
      <c r="I35"/>
      <c r="J35"/>
    </row>
    <row r="36" spans="1:10" s="59" customFormat="1" ht="15.75" thickBot="1" x14ac:dyDescent="0.3">
      <c r="A36" s="144" t="s">
        <v>192</v>
      </c>
      <c r="B36" s="49"/>
      <c r="C36" s="49"/>
      <c r="D36" s="49"/>
      <c r="E36" s="49"/>
      <c r="F36" s="171">
        <v>11083</v>
      </c>
      <c r="G36"/>
      <c r="H36"/>
      <c r="I36"/>
      <c r="J36"/>
    </row>
    <row r="37" spans="1:10" s="59" customFormat="1" ht="15.75" thickBot="1" x14ac:dyDescent="0.3">
      <c r="A37" s="120"/>
      <c r="B37" s="49"/>
      <c r="C37" s="49"/>
      <c r="D37" s="49"/>
      <c r="E37" s="49"/>
      <c r="F37" s="172">
        <f>F34/F36%</f>
        <v>7.6694035910854463</v>
      </c>
      <c r="G37" s="65" t="s">
        <v>74</v>
      </c>
      <c r="H37" s="66"/>
      <c r="I37" s="66"/>
      <c r="J37" s="67"/>
    </row>
    <row r="38" spans="1:10" s="59" customFormat="1" x14ac:dyDescent="0.25">
      <c r="A38" s="77"/>
    </row>
    <row r="39" spans="1:10" ht="15.75" thickBot="1" x14ac:dyDescent="0.3"/>
    <row r="40" spans="1:10" ht="15.75" thickBot="1" x14ac:dyDescent="0.3">
      <c r="A40" s="61" t="s">
        <v>66</v>
      </c>
      <c r="B40" s="51"/>
      <c r="C40" s="63"/>
      <c r="D40" s="84" t="s">
        <v>110</v>
      </c>
      <c r="E40" s="60"/>
      <c r="F40" s="185">
        <v>2015</v>
      </c>
    </row>
    <row r="41" spans="1:10" ht="15.75" thickBot="1" x14ac:dyDescent="0.3"/>
    <row r="42" spans="1:10" s="51" customFormat="1" ht="15.75" thickBot="1" x14ac:dyDescent="0.3">
      <c r="A42" s="50" t="s">
        <v>112</v>
      </c>
    </row>
    <row r="51" spans="8:9" x14ac:dyDescent="0.25">
      <c r="H51" s="164"/>
    </row>
    <row r="55" spans="8:9" x14ac:dyDescent="0.25">
      <c r="H55" s="164"/>
    </row>
    <row r="57" spans="8:9" x14ac:dyDescent="0.25">
      <c r="I57" s="165"/>
    </row>
    <row r="58" spans="8:9" x14ac:dyDescent="0.25">
      <c r="I58" s="16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A. GENERAL INFO</vt:lpstr>
      <vt:lpstr>B. DATA ENTRY</vt:lpstr>
      <vt:lpstr>C. DIAGRAM</vt:lpstr>
      <vt:lpstr>1.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H&amp;G&amp;L</dc:creator>
  <cp:lastModifiedBy>Madan Bandhu Regmi</cp:lastModifiedBy>
  <dcterms:created xsi:type="dcterms:W3CDTF">2016-08-05T03:47:30Z</dcterms:created>
  <dcterms:modified xsi:type="dcterms:W3CDTF">2017-10-02T02:15:32Z</dcterms:modified>
</cp:coreProperties>
</file>